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showInkAnnotation="0"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jansengroup.sharepoint.com/sites/CONNEXProduktion/Freigegebene Dokumente/General/Nullschwelle/"/>
    </mc:Choice>
  </mc:AlternateContent>
  <xr:revisionPtr revIDLastSave="107" documentId="8_{3E15BF14-4156-47A2-8DF4-F19870994DDA}" xr6:coauthVersionLast="47" xr6:coauthVersionMax="47" xr10:uidLastSave="{431EA2FE-6EED-4209-A0B9-804AB882488D}"/>
  <workbookProtection workbookAlgorithmName="SHA-512" workbookHashValue="MkQ3AdyTyQHturfxHRJqSo3nuxXXVMkqpbG6vPTrBKOoBsIbvttf9yP2fb0jGY+TRfRSXlYhY7x79FmV4T4uEQ==" workbookSaltValue="Y5cG2sLkVwTeGsoHDnYcaQ==" workbookSpinCount="100000" lockStructure="1"/>
  <bookViews>
    <workbookView xWindow="-28920" yWindow="-120" windowWidth="29040" windowHeight="15720" tabRatio="874" xr2:uid="{4AA450CB-B984-418A-A824-E2D51AE6152F}"/>
  </bookViews>
  <sheets>
    <sheet name="Bestellung Commande" sheetId="7" r:id="rId1"/>
    <sheet name="DATEN" sheetId="9" state="hidden" r:id="rId2"/>
    <sheet name="Zusammenzug" sheetId="20" state="hidden" r:id="rId3"/>
    <sheet name="Pos1" sheetId="4" state="hidden" r:id="rId4"/>
    <sheet name="Pos2" sheetId="60" state="hidden" r:id="rId5"/>
    <sheet name="Pos3" sheetId="61" state="hidden" r:id="rId6"/>
    <sheet name="Pos4" sheetId="62" state="hidden" r:id="rId7"/>
    <sheet name="Pos5" sheetId="63" state="hidden" r:id="rId8"/>
    <sheet name="Pos6" sheetId="64" state="hidden" r:id="rId9"/>
    <sheet name="Pos7" sheetId="65" state="hidden" r:id="rId10"/>
    <sheet name="Pos8" sheetId="66" state="hidden" r:id="rId11"/>
    <sheet name="Pos9" sheetId="67" state="hidden" r:id="rId12"/>
    <sheet name="Pos10" sheetId="68" state="hidden" r:id="rId13"/>
    <sheet name="Pos11" sheetId="69" state="hidden" r:id="rId14"/>
    <sheet name="Pos12" sheetId="70" state="hidden" r:id="rId15"/>
    <sheet name="Pos13" sheetId="71" state="hidden" r:id="rId16"/>
    <sheet name="Pos14" sheetId="72" state="hidden" r:id="rId17"/>
    <sheet name="Pos15" sheetId="73" state="hidden" r:id="rId18"/>
    <sheet name="Pos16" sheetId="74" state="hidden" r:id="rId19"/>
    <sheet name="Pos17" sheetId="75" state="hidden" r:id="rId20"/>
    <sheet name="Pos18" sheetId="76" state="hidden" r:id="rId21"/>
    <sheet name="Pos19" sheetId="77" state="hidden" r:id="rId22"/>
    <sheet name="Pos20" sheetId="78" state="hidden" r:id="rId23"/>
  </sheets>
  <externalReferences>
    <externalReference r:id="rId24"/>
  </externalReferences>
  <definedNames>
    <definedName name="_xlnm.Print_Area" localSheetId="0">'Bestellung Commande'!$A$1:$O$125</definedName>
    <definedName name="_xlnm.Print_Area" localSheetId="3">'Pos1'!$A$1:$N$58</definedName>
    <definedName name="_xlnm.Print_Area" localSheetId="12">'Pos10'!$A$1:$N$58</definedName>
    <definedName name="_xlnm.Print_Area" localSheetId="13">'Pos11'!$A$1:$N$58</definedName>
    <definedName name="_xlnm.Print_Area" localSheetId="14">'Pos12'!$A$1:$N$58</definedName>
    <definedName name="_xlnm.Print_Area" localSheetId="15">'Pos13'!$A$1:$N$58</definedName>
    <definedName name="_xlnm.Print_Area" localSheetId="16">'Pos14'!$A$1:$N$58</definedName>
    <definedName name="_xlnm.Print_Area" localSheetId="17">'Pos15'!$A$1:$N$58</definedName>
    <definedName name="_xlnm.Print_Area" localSheetId="18">'Pos16'!$A$1:$N$58</definedName>
    <definedName name="_xlnm.Print_Area" localSheetId="19">'Pos17'!$A$1:$N$58</definedName>
    <definedName name="_xlnm.Print_Area" localSheetId="20">'Pos18'!$A$1:$N$58</definedName>
    <definedName name="_xlnm.Print_Area" localSheetId="21">'Pos19'!$A$1:$N$58</definedName>
    <definedName name="_xlnm.Print_Area" localSheetId="4">'Pos2'!$A$1:$N$58</definedName>
    <definedName name="_xlnm.Print_Area" localSheetId="22">'Pos20'!$A$1:$N$58</definedName>
    <definedName name="_xlnm.Print_Area" localSheetId="5">'Pos3'!$A$1:$N$58</definedName>
    <definedName name="_xlnm.Print_Area" localSheetId="6">'Pos4'!$A$1:$N$58</definedName>
    <definedName name="_xlnm.Print_Area" localSheetId="7">'Pos5'!$A$1:$N$58</definedName>
    <definedName name="_xlnm.Print_Area" localSheetId="8">'Pos6'!$A$1:$N$58</definedName>
    <definedName name="_xlnm.Print_Area" localSheetId="9">'Pos7'!$A$1:$N$58</definedName>
    <definedName name="_xlnm.Print_Area" localSheetId="10">'Pos8'!$A$1:$N$58</definedName>
    <definedName name="_xlnm.Print_Area" localSheetId="11">'Pos9'!$A$1:$N$58</definedName>
    <definedName name="_xlnm.Print_Area" localSheetId="2">Zusammenzug!$A$1:$K$147</definedName>
    <definedName name="_xlnm.Print_Titles" localSheetId="0">'Bestellung Commande'!$1:$14</definedName>
    <definedName name="_xlnm.Print_Titles" localSheetId="2">Zusammenzug!$1:$16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2" i="20" l="1"/>
  <c r="B93" i="20"/>
  <c r="B94" i="20"/>
  <c r="B95" i="20"/>
  <c r="B96" i="20"/>
  <c r="B97" i="20"/>
  <c r="B98" i="20"/>
  <c r="B99" i="20"/>
  <c r="B100" i="20"/>
  <c r="B101" i="20"/>
  <c r="B102" i="20"/>
  <c r="B103" i="20"/>
  <c r="B104" i="20"/>
  <c r="B105" i="20"/>
  <c r="B106" i="20"/>
  <c r="B107" i="20"/>
  <c r="B108" i="20"/>
  <c r="B109" i="20"/>
  <c r="B91" i="20"/>
  <c r="B90" i="20"/>
  <c r="B58" i="60"/>
  <c r="B58" i="61"/>
  <c r="F58" i="61" s="1"/>
  <c r="B58" i="62"/>
  <c r="F58" i="62" s="1"/>
  <c r="B58" i="63"/>
  <c r="F58" i="63" s="1"/>
  <c r="B58" i="64"/>
  <c r="B58" i="65"/>
  <c r="D58" i="65" s="1"/>
  <c r="G96" i="20" s="1"/>
  <c r="B58" i="66"/>
  <c r="F58" i="66" s="1"/>
  <c r="B58" i="67"/>
  <c r="F58" i="67" s="1"/>
  <c r="B58" i="68"/>
  <c r="B58" i="69"/>
  <c r="B58" i="70"/>
  <c r="F58" i="70" s="1"/>
  <c r="B58" i="71"/>
  <c r="F58" i="71" s="1"/>
  <c r="B58" i="72"/>
  <c r="F58" i="72" s="1"/>
  <c r="B58" i="73"/>
  <c r="F58" i="73" s="1"/>
  <c r="B58" i="74"/>
  <c r="F58" i="74" s="1"/>
  <c r="B58" i="75"/>
  <c r="F58" i="75" s="1"/>
  <c r="B58" i="76"/>
  <c r="B58" i="77"/>
  <c r="D58" i="77" s="1"/>
  <c r="G108" i="20" s="1"/>
  <c r="B58" i="78"/>
  <c r="F58" i="78" s="1"/>
  <c r="B58" i="4"/>
  <c r="B57" i="60"/>
  <c r="F57" i="60" s="1"/>
  <c r="B57" i="61"/>
  <c r="F57" i="61" s="1"/>
  <c r="B57" i="62"/>
  <c r="F57" i="62" s="1"/>
  <c r="B57" i="63"/>
  <c r="F57" i="63" s="1"/>
  <c r="B57" i="64"/>
  <c r="B57" i="65"/>
  <c r="F57" i="65" s="1"/>
  <c r="B57" i="66"/>
  <c r="F57" i="66" s="1"/>
  <c r="B57" i="67"/>
  <c r="F57" i="67" s="1"/>
  <c r="B57" i="68"/>
  <c r="D57" i="68" s="1"/>
  <c r="F99" i="20" s="1"/>
  <c r="B57" i="69"/>
  <c r="F57" i="69" s="1"/>
  <c r="B57" i="70"/>
  <c r="F57" i="70" s="1"/>
  <c r="B57" i="71"/>
  <c r="F57" i="71" s="1"/>
  <c r="B57" i="72"/>
  <c r="B57" i="73"/>
  <c r="F57" i="73" s="1"/>
  <c r="B57" i="74"/>
  <c r="F57" i="74" s="1"/>
  <c r="B57" i="75"/>
  <c r="F57" i="75" s="1"/>
  <c r="B57" i="76"/>
  <c r="B57" i="77"/>
  <c r="F57" i="77" s="1"/>
  <c r="B57" i="78"/>
  <c r="F57" i="78" s="1"/>
  <c r="B57" i="4"/>
  <c r="B56" i="60"/>
  <c r="B56" i="61"/>
  <c r="F56" i="61" s="1"/>
  <c r="B56" i="62"/>
  <c r="F56" i="62" s="1"/>
  <c r="B56" i="63"/>
  <c r="F56" i="63" s="1"/>
  <c r="B56" i="64"/>
  <c r="D56" i="64" s="1"/>
  <c r="E95" i="20" s="1"/>
  <c r="B56" i="65"/>
  <c r="D56" i="65" s="1"/>
  <c r="E96" i="20" s="1"/>
  <c r="B56" i="66"/>
  <c r="F56" i="66" s="1"/>
  <c r="B56" i="67"/>
  <c r="F56" i="67" s="1"/>
  <c r="B56" i="68"/>
  <c r="B56" i="69"/>
  <c r="B56" i="70"/>
  <c r="F56" i="70" s="1"/>
  <c r="B56" i="71"/>
  <c r="F56" i="71" s="1"/>
  <c r="B56" i="72"/>
  <c r="F56" i="72" s="1"/>
  <c r="B56" i="73"/>
  <c r="F56" i="73" s="1"/>
  <c r="B56" i="74"/>
  <c r="F56" i="74" s="1"/>
  <c r="B56" i="75"/>
  <c r="F56" i="75" s="1"/>
  <c r="B56" i="76"/>
  <c r="B56" i="77"/>
  <c r="D56" i="77" s="1"/>
  <c r="E108" i="20" s="1"/>
  <c r="B56" i="78"/>
  <c r="F56" i="78" s="1"/>
  <c r="B56" i="4"/>
  <c r="B55" i="60"/>
  <c r="B55" i="61"/>
  <c r="B55" i="62"/>
  <c r="B55" i="63"/>
  <c r="B55" i="64"/>
  <c r="B55" i="65"/>
  <c r="B55" i="66"/>
  <c r="B55" i="67"/>
  <c r="B55" i="68"/>
  <c r="B55" i="69"/>
  <c r="B55" i="70"/>
  <c r="B55" i="71"/>
  <c r="B55" i="72"/>
  <c r="B55" i="73"/>
  <c r="B55" i="74"/>
  <c r="B55" i="75"/>
  <c r="B55" i="76"/>
  <c r="B55" i="77"/>
  <c r="B55" i="78"/>
  <c r="B55" i="4"/>
  <c r="T31" i="78"/>
  <c r="T29" i="60"/>
  <c r="U29" i="60"/>
  <c r="V29" i="60"/>
  <c r="T30" i="60"/>
  <c r="U30" i="60"/>
  <c r="V30" i="60"/>
  <c r="T29" i="61"/>
  <c r="U29" i="61"/>
  <c r="V29" i="61"/>
  <c r="T30" i="61"/>
  <c r="U30" i="61"/>
  <c r="V30" i="61"/>
  <c r="T29" i="62"/>
  <c r="U29" i="62"/>
  <c r="V29" i="62"/>
  <c r="T30" i="62"/>
  <c r="U30" i="62"/>
  <c r="V30" i="62"/>
  <c r="T29" i="63"/>
  <c r="U29" i="63"/>
  <c r="V29" i="63"/>
  <c r="T30" i="63"/>
  <c r="U30" i="63"/>
  <c r="V30" i="63"/>
  <c r="T29" i="64"/>
  <c r="U29" i="64"/>
  <c r="V29" i="64"/>
  <c r="T30" i="64"/>
  <c r="U30" i="64"/>
  <c r="V30" i="64"/>
  <c r="T29" i="65"/>
  <c r="U29" i="65"/>
  <c r="V29" i="65"/>
  <c r="T30" i="65"/>
  <c r="U30" i="65"/>
  <c r="V30" i="65"/>
  <c r="T29" i="66"/>
  <c r="U29" i="66"/>
  <c r="V29" i="66"/>
  <c r="T30" i="66"/>
  <c r="U30" i="66"/>
  <c r="V30" i="66"/>
  <c r="T29" i="67"/>
  <c r="U29" i="67"/>
  <c r="V29" i="67"/>
  <c r="T30" i="67"/>
  <c r="U30" i="67"/>
  <c r="V30" i="67"/>
  <c r="T29" i="68"/>
  <c r="U29" i="68"/>
  <c r="V29" i="68"/>
  <c r="T30" i="68"/>
  <c r="U30" i="68"/>
  <c r="V30" i="68"/>
  <c r="T29" i="69"/>
  <c r="U29" i="69"/>
  <c r="V29" i="69"/>
  <c r="T30" i="69"/>
  <c r="U30" i="69"/>
  <c r="V30" i="69"/>
  <c r="T29" i="70"/>
  <c r="U29" i="70"/>
  <c r="V29" i="70"/>
  <c r="T30" i="70"/>
  <c r="U30" i="70"/>
  <c r="V30" i="70"/>
  <c r="T29" i="71"/>
  <c r="U29" i="71"/>
  <c r="V29" i="71"/>
  <c r="T30" i="71"/>
  <c r="U30" i="71"/>
  <c r="V30" i="71"/>
  <c r="T29" i="72"/>
  <c r="U29" i="72"/>
  <c r="V29" i="72"/>
  <c r="T30" i="72"/>
  <c r="U30" i="72"/>
  <c r="V30" i="72"/>
  <c r="T29" i="73"/>
  <c r="U29" i="73"/>
  <c r="V29" i="73"/>
  <c r="T30" i="73"/>
  <c r="U30" i="73"/>
  <c r="V30" i="73"/>
  <c r="T29" i="74"/>
  <c r="U29" i="74"/>
  <c r="V29" i="74"/>
  <c r="T30" i="74"/>
  <c r="U30" i="74"/>
  <c r="V30" i="74"/>
  <c r="T29" i="75"/>
  <c r="U29" i="75"/>
  <c r="V29" i="75"/>
  <c r="T30" i="75"/>
  <c r="U30" i="75"/>
  <c r="V30" i="75"/>
  <c r="T29" i="76"/>
  <c r="U29" i="76"/>
  <c r="V29" i="76"/>
  <c r="T30" i="76"/>
  <c r="U30" i="76"/>
  <c r="V30" i="76"/>
  <c r="T29" i="77"/>
  <c r="U29" i="77"/>
  <c r="V29" i="77"/>
  <c r="T30" i="77"/>
  <c r="U30" i="77"/>
  <c r="V30" i="77"/>
  <c r="T29" i="78"/>
  <c r="U29" i="78"/>
  <c r="V29" i="78"/>
  <c r="T30" i="78"/>
  <c r="U30" i="78"/>
  <c r="V30" i="78"/>
  <c r="T29" i="4"/>
  <c r="U29" i="4"/>
  <c r="V29" i="4"/>
  <c r="T30" i="4"/>
  <c r="U30" i="4"/>
  <c r="V30" i="4"/>
  <c r="P29" i="60"/>
  <c r="P29" i="61"/>
  <c r="P29" i="62"/>
  <c r="P29" i="63"/>
  <c r="P29" i="64"/>
  <c r="P29" i="65"/>
  <c r="P29" i="66"/>
  <c r="P29" i="67"/>
  <c r="P29" i="68"/>
  <c r="P29" i="69"/>
  <c r="P29" i="70"/>
  <c r="P29" i="71"/>
  <c r="P29" i="72"/>
  <c r="P29" i="73"/>
  <c r="P29" i="74"/>
  <c r="P29" i="75"/>
  <c r="P29" i="76"/>
  <c r="P29" i="77"/>
  <c r="P29" i="78"/>
  <c r="P29" i="4"/>
  <c r="P43" i="20"/>
  <c r="AR99" i="9"/>
  <c r="AR94" i="9"/>
  <c r="AR89" i="9"/>
  <c r="AR84" i="9"/>
  <c r="AR79" i="9"/>
  <c r="AR74" i="9"/>
  <c r="AR69" i="9"/>
  <c r="AR64" i="9"/>
  <c r="AR59" i="9"/>
  <c r="AR54" i="9"/>
  <c r="N58" i="78"/>
  <c r="R39" i="78"/>
  <c r="V39" i="78" s="1"/>
  <c r="Q39" i="78"/>
  <c r="U39" i="78" s="1"/>
  <c r="P39" i="78"/>
  <c r="T39" i="78" s="1"/>
  <c r="R38" i="78"/>
  <c r="V38" i="78" s="1"/>
  <c r="Q38" i="78"/>
  <c r="U38" i="78" s="1"/>
  <c r="P38" i="78"/>
  <c r="T38" i="78" s="1"/>
  <c r="R37" i="78"/>
  <c r="V37" i="78" s="1"/>
  <c r="Q37" i="78"/>
  <c r="U37" i="78" s="1"/>
  <c r="P37" i="78"/>
  <c r="T37" i="78" s="1"/>
  <c r="R36" i="78"/>
  <c r="V36" i="78" s="1"/>
  <c r="Q36" i="78"/>
  <c r="U36" i="78" s="1"/>
  <c r="P36" i="78"/>
  <c r="T36" i="78" s="1"/>
  <c r="R35" i="78"/>
  <c r="V35" i="78" s="1"/>
  <c r="Q35" i="78"/>
  <c r="U35" i="78" s="1"/>
  <c r="P35" i="78"/>
  <c r="T35" i="78" s="1"/>
  <c r="R34" i="78"/>
  <c r="V34" i="78" s="1"/>
  <c r="Q34" i="78"/>
  <c r="U34" i="78" s="1"/>
  <c r="P34" i="78"/>
  <c r="T34" i="78" s="1"/>
  <c r="R33" i="78"/>
  <c r="V33" i="78" s="1"/>
  <c r="Q33" i="78"/>
  <c r="U33" i="78" s="1"/>
  <c r="P33" i="78"/>
  <c r="T33" i="78" s="1"/>
  <c r="R32" i="78"/>
  <c r="V32" i="78" s="1"/>
  <c r="Q32" i="78"/>
  <c r="U32" i="78" s="1"/>
  <c r="P32" i="78"/>
  <c r="T32" i="78" s="1"/>
  <c r="R31" i="78"/>
  <c r="V31" i="78" s="1"/>
  <c r="Q31" i="78"/>
  <c r="U31" i="78" s="1"/>
  <c r="P31" i="78"/>
  <c r="X27" i="78"/>
  <c r="C18" i="78" a="1"/>
  <c r="C18" i="78" s="1"/>
  <c r="B18" i="78" a="1"/>
  <c r="B18" i="78" s="1"/>
  <c r="O17" i="78"/>
  <c r="M17" i="78"/>
  <c r="L17" i="78"/>
  <c r="K17" i="78"/>
  <c r="J17" i="78"/>
  <c r="I17" i="78"/>
  <c r="G17" i="78"/>
  <c r="F41" i="78" s="1"/>
  <c r="F17" i="78"/>
  <c r="F36" i="78" s="1"/>
  <c r="X31" i="78" s="1"/>
  <c r="E17" i="78"/>
  <c r="D17" i="78"/>
  <c r="C109" i="20" s="1"/>
  <c r="B17" i="78"/>
  <c r="R16" i="78"/>
  <c r="Q16" i="78"/>
  <c r="P16" i="78"/>
  <c r="O16" i="78"/>
  <c r="M16" i="78"/>
  <c r="I16" i="78"/>
  <c r="G16" i="78"/>
  <c r="F16" i="78"/>
  <c r="E16" i="78"/>
  <c r="D16" i="78"/>
  <c r="B16" i="78"/>
  <c r="M15" i="78"/>
  <c r="A15" i="78"/>
  <c r="D14" i="78"/>
  <c r="A14" i="78"/>
  <c r="D13" i="78"/>
  <c r="A13" i="78"/>
  <c r="D12" i="78"/>
  <c r="A12" i="78"/>
  <c r="G10" i="78"/>
  <c r="D10" i="78"/>
  <c r="A10" i="78"/>
  <c r="D9" i="78"/>
  <c r="A9" i="78"/>
  <c r="D8" i="78"/>
  <c r="A8" i="78"/>
  <c r="G7" i="78"/>
  <c r="G6" i="78"/>
  <c r="D6" i="78"/>
  <c r="A6" i="78"/>
  <c r="K5" i="78"/>
  <c r="G5" i="78"/>
  <c r="D5" i="78"/>
  <c r="A5" i="78"/>
  <c r="K4" i="78"/>
  <c r="G4" i="78"/>
  <c r="D4" i="78"/>
  <c r="A4" i="78"/>
  <c r="D3" i="78"/>
  <c r="A3" i="78"/>
  <c r="N58" i="77"/>
  <c r="R39" i="77"/>
  <c r="V39" i="77" s="1"/>
  <c r="Q39" i="77"/>
  <c r="U39" i="77" s="1"/>
  <c r="P39" i="77"/>
  <c r="T39" i="77" s="1"/>
  <c r="R38" i="77"/>
  <c r="V38" i="77" s="1"/>
  <c r="Q38" i="77"/>
  <c r="U38" i="77" s="1"/>
  <c r="P38" i="77"/>
  <c r="T38" i="77" s="1"/>
  <c r="R37" i="77"/>
  <c r="V37" i="77" s="1"/>
  <c r="Q37" i="77"/>
  <c r="U37" i="77" s="1"/>
  <c r="P37" i="77"/>
  <c r="T37" i="77" s="1"/>
  <c r="R36" i="77"/>
  <c r="V36" i="77" s="1"/>
  <c r="Q36" i="77"/>
  <c r="U36" i="77" s="1"/>
  <c r="P36" i="77"/>
  <c r="T36" i="77" s="1"/>
  <c r="R35" i="77"/>
  <c r="V35" i="77" s="1"/>
  <c r="Q35" i="77"/>
  <c r="U35" i="77" s="1"/>
  <c r="P35" i="77"/>
  <c r="T35" i="77" s="1"/>
  <c r="R34" i="77"/>
  <c r="V34" i="77" s="1"/>
  <c r="Q34" i="77"/>
  <c r="U34" i="77" s="1"/>
  <c r="P34" i="77"/>
  <c r="T34" i="77" s="1"/>
  <c r="R33" i="77"/>
  <c r="V33" i="77" s="1"/>
  <c r="Q33" i="77"/>
  <c r="U33" i="77" s="1"/>
  <c r="P33" i="77"/>
  <c r="T33" i="77" s="1"/>
  <c r="R32" i="77"/>
  <c r="V32" i="77" s="1"/>
  <c r="Q32" i="77"/>
  <c r="U32" i="77" s="1"/>
  <c r="P32" i="77"/>
  <c r="T32" i="77" s="1"/>
  <c r="R31" i="77"/>
  <c r="V31" i="77" s="1"/>
  <c r="Q31" i="77"/>
  <c r="U31" i="77" s="1"/>
  <c r="P31" i="77"/>
  <c r="T31" i="77" s="1"/>
  <c r="X27" i="77"/>
  <c r="C18" i="77" a="1"/>
  <c r="C18" i="77" s="1"/>
  <c r="B18" i="77" a="1"/>
  <c r="B18" i="77" s="1"/>
  <c r="O17" i="77"/>
  <c r="M17" i="77"/>
  <c r="L17" i="77"/>
  <c r="K17" i="77"/>
  <c r="J17" i="77"/>
  <c r="I17" i="77"/>
  <c r="G17" i="77"/>
  <c r="F27" i="77" s="1"/>
  <c r="Q17" i="77" s="1"/>
  <c r="F17" i="77"/>
  <c r="F36" i="77" s="1"/>
  <c r="X31" i="77" s="1"/>
  <c r="E17" i="77"/>
  <c r="D17" i="77"/>
  <c r="C108" i="20" s="1"/>
  <c r="B17" i="77"/>
  <c r="F52" i="77" s="1"/>
  <c r="R16" i="77"/>
  <c r="Q16" i="77"/>
  <c r="P16" i="77"/>
  <c r="O16" i="77"/>
  <c r="M16" i="77"/>
  <c r="I16" i="77"/>
  <c r="G16" i="77"/>
  <c r="F16" i="77"/>
  <c r="E16" i="77"/>
  <c r="D16" i="77"/>
  <c r="B16" i="77"/>
  <c r="M15" i="77"/>
  <c r="A15" i="77"/>
  <c r="D14" i="77"/>
  <c r="A14" i="77"/>
  <c r="D13" i="77"/>
  <c r="A13" i="77"/>
  <c r="D12" i="77"/>
  <c r="A12" i="77"/>
  <c r="G10" i="77"/>
  <c r="D10" i="77"/>
  <c r="A10" i="77"/>
  <c r="D9" i="77"/>
  <c r="A9" i="77"/>
  <c r="D8" i="77"/>
  <c r="A8" i="77"/>
  <c r="G7" i="77"/>
  <c r="G6" i="77"/>
  <c r="D6" i="77"/>
  <c r="A6" i="77"/>
  <c r="K5" i="77"/>
  <c r="G5" i="77"/>
  <c r="D5" i="77"/>
  <c r="A5" i="77"/>
  <c r="K4" i="77"/>
  <c r="G4" i="77"/>
  <c r="D4" i="77"/>
  <c r="A4" i="77"/>
  <c r="D3" i="77"/>
  <c r="A3" i="77"/>
  <c r="N58" i="76"/>
  <c r="F58" i="76"/>
  <c r="F57" i="76"/>
  <c r="F56" i="76"/>
  <c r="R39" i="76"/>
  <c r="V39" i="76" s="1"/>
  <c r="Q39" i="76"/>
  <c r="U39" i="76" s="1"/>
  <c r="P39" i="76"/>
  <c r="T39" i="76" s="1"/>
  <c r="R38" i="76"/>
  <c r="V38" i="76" s="1"/>
  <c r="Q38" i="76"/>
  <c r="U38" i="76" s="1"/>
  <c r="P38" i="76"/>
  <c r="T38" i="76" s="1"/>
  <c r="R37" i="76"/>
  <c r="V37" i="76" s="1"/>
  <c r="Q37" i="76"/>
  <c r="U37" i="76" s="1"/>
  <c r="P37" i="76"/>
  <c r="T37" i="76" s="1"/>
  <c r="R36" i="76"/>
  <c r="V36" i="76" s="1"/>
  <c r="Q36" i="76"/>
  <c r="U36" i="76" s="1"/>
  <c r="P36" i="76"/>
  <c r="T36" i="76" s="1"/>
  <c r="R35" i="76"/>
  <c r="V35" i="76" s="1"/>
  <c r="Q35" i="76"/>
  <c r="U35" i="76" s="1"/>
  <c r="P35" i="76"/>
  <c r="T35" i="76" s="1"/>
  <c r="R34" i="76"/>
  <c r="V34" i="76" s="1"/>
  <c r="Q34" i="76"/>
  <c r="U34" i="76" s="1"/>
  <c r="P34" i="76"/>
  <c r="T34" i="76" s="1"/>
  <c r="R33" i="76"/>
  <c r="V33" i="76" s="1"/>
  <c r="Q33" i="76"/>
  <c r="U33" i="76" s="1"/>
  <c r="P33" i="76"/>
  <c r="T33" i="76" s="1"/>
  <c r="R32" i="76"/>
  <c r="V32" i="76" s="1"/>
  <c r="Q32" i="76"/>
  <c r="U32" i="76" s="1"/>
  <c r="P32" i="76"/>
  <c r="T32" i="76" s="1"/>
  <c r="R31" i="76"/>
  <c r="V31" i="76" s="1"/>
  <c r="Q31" i="76"/>
  <c r="U31" i="76" s="1"/>
  <c r="P31" i="76"/>
  <c r="T31" i="76" s="1"/>
  <c r="X27" i="76"/>
  <c r="C18" i="76" a="1"/>
  <c r="C18" i="76" s="1"/>
  <c r="B18" i="76" a="1"/>
  <c r="B18" i="76" s="1"/>
  <c r="O17" i="76"/>
  <c r="M17" i="76"/>
  <c r="L17" i="76"/>
  <c r="K17" i="76"/>
  <c r="J17" i="76"/>
  <c r="I17" i="76"/>
  <c r="G17" i="76"/>
  <c r="F41" i="76" s="1"/>
  <c r="F17" i="76"/>
  <c r="E17" i="76"/>
  <c r="F22" i="76" s="1"/>
  <c r="K56" i="76" s="1"/>
  <c r="D17" i="76"/>
  <c r="C107" i="20" s="1"/>
  <c r="B17" i="76"/>
  <c r="F52" i="76" s="1"/>
  <c r="R16" i="76"/>
  <c r="Q16" i="76"/>
  <c r="P16" i="76"/>
  <c r="O16" i="76"/>
  <c r="M16" i="76"/>
  <c r="I16" i="76"/>
  <c r="G16" i="76"/>
  <c r="F16" i="76"/>
  <c r="E16" i="76"/>
  <c r="D16" i="76"/>
  <c r="B16" i="76"/>
  <c r="M15" i="76"/>
  <c r="A15" i="76"/>
  <c r="D14" i="76"/>
  <c r="A14" i="76"/>
  <c r="D13" i="76"/>
  <c r="A13" i="76"/>
  <c r="D12" i="76"/>
  <c r="A12" i="76"/>
  <c r="G10" i="76"/>
  <c r="D10" i="76"/>
  <c r="A10" i="76"/>
  <c r="D9" i="76"/>
  <c r="A9" i="76"/>
  <c r="D8" i="76"/>
  <c r="A8" i="76"/>
  <c r="G7" i="76"/>
  <c r="G6" i="76"/>
  <c r="D6" i="76"/>
  <c r="A6" i="76"/>
  <c r="K5" i="76"/>
  <c r="G5" i="76"/>
  <c r="D5" i="76"/>
  <c r="A5" i="76"/>
  <c r="K4" i="76"/>
  <c r="G4" i="76"/>
  <c r="D4" i="76"/>
  <c r="A4" i="76"/>
  <c r="D3" i="76"/>
  <c r="A3" i="76"/>
  <c r="N58" i="75"/>
  <c r="R39" i="75"/>
  <c r="V39" i="75" s="1"/>
  <c r="Q39" i="75"/>
  <c r="U39" i="75" s="1"/>
  <c r="P39" i="75"/>
  <c r="T39" i="75" s="1"/>
  <c r="R38" i="75"/>
  <c r="V38" i="75" s="1"/>
  <c r="Q38" i="75"/>
  <c r="U38" i="75" s="1"/>
  <c r="P38" i="75"/>
  <c r="T38" i="75" s="1"/>
  <c r="R37" i="75"/>
  <c r="V37" i="75" s="1"/>
  <c r="Q37" i="75"/>
  <c r="U37" i="75" s="1"/>
  <c r="P37" i="75"/>
  <c r="T37" i="75" s="1"/>
  <c r="R36" i="75"/>
  <c r="V36" i="75" s="1"/>
  <c r="Q36" i="75"/>
  <c r="U36" i="75" s="1"/>
  <c r="P36" i="75"/>
  <c r="T36" i="75" s="1"/>
  <c r="R35" i="75"/>
  <c r="V35" i="75" s="1"/>
  <c r="Q35" i="75"/>
  <c r="U35" i="75" s="1"/>
  <c r="P35" i="75"/>
  <c r="T35" i="75" s="1"/>
  <c r="R34" i="75"/>
  <c r="V34" i="75" s="1"/>
  <c r="Q34" i="75"/>
  <c r="U34" i="75" s="1"/>
  <c r="P34" i="75"/>
  <c r="T34" i="75" s="1"/>
  <c r="R33" i="75"/>
  <c r="V33" i="75" s="1"/>
  <c r="Q33" i="75"/>
  <c r="U33" i="75" s="1"/>
  <c r="P33" i="75"/>
  <c r="T33" i="75" s="1"/>
  <c r="R32" i="75"/>
  <c r="V32" i="75" s="1"/>
  <c r="Q32" i="75"/>
  <c r="U32" i="75" s="1"/>
  <c r="P32" i="75"/>
  <c r="T32" i="75" s="1"/>
  <c r="R31" i="75"/>
  <c r="V31" i="75" s="1"/>
  <c r="Q31" i="75"/>
  <c r="U31" i="75" s="1"/>
  <c r="P31" i="75"/>
  <c r="T31" i="75" s="1"/>
  <c r="X27" i="75"/>
  <c r="C18" i="75" a="1"/>
  <c r="C18" i="75" s="1"/>
  <c r="B18" i="75" a="1"/>
  <c r="B18" i="75" s="1"/>
  <c r="O17" i="75"/>
  <c r="M17" i="75"/>
  <c r="L17" i="75"/>
  <c r="K17" i="75"/>
  <c r="J17" i="75"/>
  <c r="I17" i="75"/>
  <c r="G17" i="75"/>
  <c r="F41" i="75" s="1"/>
  <c r="F17" i="75"/>
  <c r="F36" i="75" s="1"/>
  <c r="X31" i="75" s="1"/>
  <c r="E17" i="75"/>
  <c r="F22" i="75" s="1"/>
  <c r="K58" i="75" s="1"/>
  <c r="D17" i="75"/>
  <c r="G57" i="20" s="1"/>
  <c r="B17" i="75"/>
  <c r="F23" i="75" s="1"/>
  <c r="R16" i="75"/>
  <c r="Q16" i="75"/>
  <c r="P16" i="75"/>
  <c r="O16" i="75"/>
  <c r="M16" i="75"/>
  <c r="I16" i="75"/>
  <c r="G16" i="75"/>
  <c r="F16" i="75"/>
  <c r="E16" i="75"/>
  <c r="D16" i="75"/>
  <c r="B16" i="75"/>
  <c r="M15" i="75"/>
  <c r="A15" i="75"/>
  <c r="D14" i="75"/>
  <c r="A14" i="75"/>
  <c r="D13" i="75"/>
  <c r="A13" i="75"/>
  <c r="D12" i="75"/>
  <c r="A12" i="75"/>
  <c r="G10" i="75"/>
  <c r="D10" i="75"/>
  <c r="A10" i="75"/>
  <c r="D9" i="75"/>
  <c r="A9" i="75"/>
  <c r="D8" i="75"/>
  <c r="A8" i="75"/>
  <c r="G7" i="75"/>
  <c r="G6" i="75"/>
  <c r="D6" i="75"/>
  <c r="A6" i="75"/>
  <c r="K5" i="75"/>
  <c r="G5" i="75"/>
  <c r="D5" i="75"/>
  <c r="A5" i="75"/>
  <c r="K4" i="75"/>
  <c r="G4" i="75"/>
  <c r="D4" i="75"/>
  <c r="A4" i="75"/>
  <c r="D3" i="75"/>
  <c r="A3" i="75"/>
  <c r="N58" i="74"/>
  <c r="R39" i="74"/>
  <c r="V39" i="74" s="1"/>
  <c r="Q39" i="74"/>
  <c r="U39" i="74" s="1"/>
  <c r="P39" i="74"/>
  <c r="T39" i="74" s="1"/>
  <c r="R38" i="74"/>
  <c r="V38" i="74" s="1"/>
  <c r="Q38" i="74"/>
  <c r="U38" i="74" s="1"/>
  <c r="P38" i="74"/>
  <c r="T38" i="74" s="1"/>
  <c r="R37" i="74"/>
  <c r="V37" i="74" s="1"/>
  <c r="Q37" i="74"/>
  <c r="U37" i="74" s="1"/>
  <c r="P37" i="74"/>
  <c r="T37" i="74" s="1"/>
  <c r="R36" i="74"/>
  <c r="V36" i="74" s="1"/>
  <c r="Q36" i="74"/>
  <c r="U36" i="74" s="1"/>
  <c r="P36" i="74"/>
  <c r="T36" i="74" s="1"/>
  <c r="R35" i="74"/>
  <c r="V35" i="74" s="1"/>
  <c r="Q35" i="74"/>
  <c r="U35" i="74" s="1"/>
  <c r="P35" i="74"/>
  <c r="T35" i="74" s="1"/>
  <c r="T34" i="74"/>
  <c r="R34" i="74"/>
  <c r="V34" i="74" s="1"/>
  <c r="Q34" i="74"/>
  <c r="U34" i="74" s="1"/>
  <c r="P34" i="74"/>
  <c r="R33" i="74"/>
  <c r="V33" i="74" s="1"/>
  <c r="Q33" i="74"/>
  <c r="U33" i="74" s="1"/>
  <c r="P33" i="74"/>
  <c r="T33" i="74" s="1"/>
  <c r="R32" i="74"/>
  <c r="V32" i="74" s="1"/>
  <c r="Q32" i="74"/>
  <c r="U32" i="74" s="1"/>
  <c r="P32" i="74"/>
  <c r="T32" i="74" s="1"/>
  <c r="R31" i="74"/>
  <c r="V31" i="74" s="1"/>
  <c r="Q31" i="74"/>
  <c r="U31" i="74" s="1"/>
  <c r="P31" i="74"/>
  <c r="T31" i="74" s="1"/>
  <c r="X27" i="74"/>
  <c r="C18" i="74" a="1"/>
  <c r="C18" i="74" s="1"/>
  <c r="B18" i="74" a="1"/>
  <c r="B18" i="74" s="1"/>
  <c r="O17" i="74"/>
  <c r="M17" i="74"/>
  <c r="L17" i="74"/>
  <c r="K17" i="74"/>
  <c r="J17" i="74"/>
  <c r="I17" i="74"/>
  <c r="G17" i="74"/>
  <c r="F41" i="74" s="1"/>
  <c r="F17" i="74"/>
  <c r="F36" i="74" s="1"/>
  <c r="X31" i="74" s="1"/>
  <c r="E17" i="74"/>
  <c r="F22" i="74" s="1"/>
  <c r="K58" i="74" s="1"/>
  <c r="D17" i="74"/>
  <c r="G56" i="20" s="1"/>
  <c r="B17" i="74"/>
  <c r="F23" i="74" s="1"/>
  <c r="R16" i="74"/>
  <c r="Q16" i="74"/>
  <c r="P16" i="74"/>
  <c r="O16" i="74"/>
  <c r="M16" i="74"/>
  <c r="I16" i="74"/>
  <c r="G16" i="74"/>
  <c r="F16" i="74"/>
  <c r="E16" i="74"/>
  <c r="D16" i="74"/>
  <c r="B16" i="74"/>
  <c r="M15" i="74"/>
  <c r="A15" i="74"/>
  <c r="D14" i="74"/>
  <c r="A14" i="74"/>
  <c r="D13" i="74"/>
  <c r="A13" i="74"/>
  <c r="D12" i="74"/>
  <c r="A12" i="74"/>
  <c r="G10" i="74"/>
  <c r="D10" i="74"/>
  <c r="A10" i="74"/>
  <c r="D9" i="74"/>
  <c r="A9" i="74"/>
  <c r="D8" i="74"/>
  <c r="A8" i="74"/>
  <c r="G7" i="74"/>
  <c r="G6" i="74"/>
  <c r="D6" i="74"/>
  <c r="A6" i="74"/>
  <c r="K5" i="74"/>
  <c r="G5" i="74"/>
  <c r="D5" i="74"/>
  <c r="A5" i="74"/>
  <c r="K4" i="74"/>
  <c r="G4" i="74"/>
  <c r="D4" i="74"/>
  <c r="A4" i="74"/>
  <c r="D3" i="74"/>
  <c r="A3" i="74"/>
  <c r="N58" i="73"/>
  <c r="R39" i="73"/>
  <c r="V39" i="73" s="1"/>
  <c r="Q39" i="73"/>
  <c r="U39" i="73" s="1"/>
  <c r="P39" i="73"/>
  <c r="T39" i="73" s="1"/>
  <c r="R38" i="73"/>
  <c r="V38" i="73" s="1"/>
  <c r="Q38" i="73"/>
  <c r="U38" i="73" s="1"/>
  <c r="P38" i="73"/>
  <c r="T38" i="73" s="1"/>
  <c r="R37" i="73"/>
  <c r="V37" i="73" s="1"/>
  <c r="Q37" i="73"/>
  <c r="U37" i="73" s="1"/>
  <c r="P37" i="73"/>
  <c r="T37" i="73" s="1"/>
  <c r="R36" i="73"/>
  <c r="V36" i="73" s="1"/>
  <c r="Q36" i="73"/>
  <c r="U36" i="73" s="1"/>
  <c r="P36" i="73"/>
  <c r="T36" i="73" s="1"/>
  <c r="R35" i="73"/>
  <c r="V35" i="73" s="1"/>
  <c r="Q35" i="73"/>
  <c r="U35" i="73" s="1"/>
  <c r="P35" i="73"/>
  <c r="T35" i="73" s="1"/>
  <c r="U34" i="73"/>
  <c r="R34" i="73"/>
  <c r="V34" i="73" s="1"/>
  <c r="Q34" i="73"/>
  <c r="P34" i="73"/>
  <c r="T34" i="73" s="1"/>
  <c r="R33" i="73"/>
  <c r="V33" i="73" s="1"/>
  <c r="Q33" i="73"/>
  <c r="U33" i="73" s="1"/>
  <c r="P33" i="73"/>
  <c r="T33" i="73" s="1"/>
  <c r="T32" i="73"/>
  <c r="R32" i="73"/>
  <c r="V32" i="73" s="1"/>
  <c r="Q32" i="73"/>
  <c r="U32" i="73" s="1"/>
  <c r="P32" i="73"/>
  <c r="R31" i="73"/>
  <c r="V31" i="73" s="1"/>
  <c r="Q31" i="73"/>
  <c r="U31" i="73" s="1"/>
  <c r="P31" i="73"/>
  <c r="T31" i="73" s="1"/>
  <c r="X27" i="73"/>
  <c r="C18" i="73" a="1"/>
  <c r="C18" i="73" s="1"/>
  <c r="B18" i="73" a="1"/>
  <c r="B18" i="73" s="1"/>
  <c r="O17" i="73"/>
  <c r="M17" i="73"/>
  <c r="L17" i="73"/>
  <c r="K17" i="73"/>
  <c r="J17" i="73"/>
  <c r="I17" i="73"/>
  <c r="G17" i="73"/>
  <c r="F41" i="73" s="1"/>
  <c r="F17" i="73"/>
  <c r="F36" i="73" s="1"/>
  <c r="X31" i="73" s="1"/>
  <c r="E17" i="73"/>
  <c r="D17" i="73"/>
  <c r="G55" i="20" s="1"/>
  <c r="B17" i="73"/>
  <c r="R16" i="73"/>
  <c r="Q16" i="73"/>
  <c r="P16" i="73"/>
  <c r="O16" i="73"/>
  <c r="M16" i="73"/>
  <c r="I16" i="73"/>
  <c r="G16" i="73"/>
  <c r="F16" i="73"/>
  <c r="E16" i="73"/>
  <c r="D16" i="73"/>
  <c r="B16" i="73"/>
  <c r="M15" i="73"/>
  <c r="A15" i="73"/>
  <c r="D14" i="73"/>
  <c r="A14" i="73"/>
  <c r="D13" i="73"/>
  <c r="A13" i="73"/>
  <c r="D12" i="73"/>
  <c r="A12" i="73"/>
  <c r="G10" i="73"/>
  <c r="D10" i="73"/>
  <c r="A10" i="73"/>
  <c r="D9" i="73"/>
  <c r="A9" i="73"/>
  <c r="D8" i="73"/>
  <c r="A8" i="73"/>
  <c r="G7" i="73"/>
  <c r="G6" i="73"/>
  <c r="D6" i="73"/>
  <c r="A6" i="73"/>
  <c r="K5" i="73"/>
  <c r="G5" i="73"/>
  <c r="D5" i="73"/>
  <c r="A5" i="73"/>
  <c r="K4" i="73"/>
  <c r="G4" i="73"/>
  <c r="D4" i="73"/>
  <c r="A4" i="73"/>
  <c r="D3" i="73"/>
  <c r="A3" i="73"/>
  <c r="N58" i="72"/>
  <c r="F57" i="72"/>
  <c r="R39" i="72"/>
  <c r="V39" i="72" s="1"/>
  <c r="Q39" i="72"/>
  <c r="U39" i="72" s="1"/>
  <c r="P39" i="72"/>
  <c r="T39" i="72" s="1"/>
  <c r="R38" i="72"/>
  <c r="V38" i="72" s="1"/>
  <c r="Q38" i="72"/>
  <c r="U38" i="72" s="1"/>
  <c r="P38" i="72"/>
  <c r="T38" i="72" s="1"/>
  <c r="R37" i="72"/>
  <c r="V37" i="72" s="1"/>
  <c r="Q37" i="72"/>
  <c r="U37" i="72" s="1"/>
  <c r="P37" i="72"/>
  <c r="T37" i="72" s="1"/>
  <c r="R36" i="72"/>
  <c r="V36" i="72" s="1"/>
  <c r="Q36" i="72"/>
  <c r="U36" i="72" s="1"/>
  <c r="P36" i="72"/>
  <c r="T36" i="72" s="1"/>
  <c r="R35" i="72"/>
  <c r="V35" i="72" s="1"/>
  <c r="Q35" i="72"/>
  <c r="U35" i="72" s="1"/>
  <c r="P35" i="72"/>
  <c r="T35" i="72" s="1"/>
  <c r="R34" i="72"/>
  <c r="V34" i="72" s="1"/>
  <c r="Q34" i="72"/>
  <c r="U34" i="72" s="1"/>
  <c r="P34" i="72"/>
  <c r="T34" i="72" s="1"/>
  <c r="R33" i="72"/>
  <c r="V33" i="72" s="1"/>
  <c r="Q33" i="72"/>
  <c r="U33" i="72" s="1"/>
  <c r="P33" i="72"/>
  <c r="T33" i="72" s="1"/>
  <c r="R32" i="72"/>
  <c r="V32" i="72" s="1"/>
  <c r="Q32" i="72"/>
  <c r="U32" i="72" s="1"/>
  <c r="P32" i="72"/>
  <c r="T32" i="72" s="1"/>
  <c r="R31" i="72"/>
  <c r="V31" i="72" s="1"/>
  <c r="Q31" i="72"/>
  <c r="U31" i="72" s="1"/>
  <c r="P31" i="72"/>
  <c r="T31" i="72" s="1"/>
  <c r="X27" i="72"/>
  <c r="C18" i="72" a="1"/>
  <c r="C18" i="72" s="1"/>
  <c r="B18" i="72" a="1"/>
  <c r="B18" i="72" s="1"/>
  <c r="O17" i="72"/>
  <c r="M17" i="72"/>
  <c r="L17" i="72"/>
  <c r="K17" i="72"/>
  <c r="J17" i="72"/>
  <c r="I17" i="72"/>
  <c r="G17" i="72"/>
  <c r="F41" i="72" s="1"/>
  <c r="F17" i="72"/>
  <c r="F36" i="72" s="1"/>
  <c r="X31" i="72" s="1"/>
  <c r="E17" i="72"/>
  <c r="F22" i="72" s="1"/>
  <c r="K58" i="72" s="1"/>
  <c r="D17" i="72"/>
  <c r="G54" i="20" s="1"/>
  <c r="B17" i="72"/>
  <c r="R16" i="72"/>
  <c r="Q16" i="72"/>
  <c r="P16" i="72"/>
  <c r="O16" i="72"/>
  <c r="M16" i="72"/>
  <c r="I16" i="72"/>
  <c r="G16" i="72"/>
  <c r="F16" i="72"/>
  <c r="E16" i="72"/>
  <c r="D16" i="72"/>
  <c r="B16" i="72"/>
  <c r="M15" i="72"/>
  <c r="A15" i="72"/>
  <c r="D14" i="72"/>
  <c r="A14" i="72"/>
  <c r="D13" i="72"/>
  <c r="A13" i="72"/>
  <c r="D12" i="72"/>
  <c r="A12" i="72"/>
  <c r="G10" i="72"/>
  <c r="D10" i="72"/>
  <c r="A10" i="72"/>
  <c r="D9" i="72"/>
  <c r="A9" i="72"/>
  <c r="D8" i="72"/>
  <c r="A8" i="72"/>
  <c r="G7" i="72"/>
  <c r="G6" i="72"/>
  <c r="D6" i="72"/>
  <c r="A6" i="72"/>
  <c r="K5" i="72"/>
  <c r="G5" i="72"/>
  <c r="D5" i="72"/>
  <c r="A5" i="72"/>
  <c r="K4" i="72"/>
  <c r="G4" i="72"/>
  <c r="D4" i="72"/>
  <c r="A4" i="72"/>
  <c r="D3" i="72"/>
  <c r="A3" i="72"/>
  <c r="N58" i="71"/>
  <c r="R39" i="71"/>
  <c r="V39" i="71" s="1"/>
  <c r="Q39" i="71"/>
  <c r="U39" i="71" s="1"/>
  <c r="P39" i="71"/>
  <c r="T39" i="71" s="1"/>
  <c r="R38" i="71"/>
  <c r="V38" i="71" s="1"/>
  <c r="Q38" i="71"/>
  <c r="U38" i="71" s="1"/>
  <c r="P38" i="71"/>
  <c r="T38" i="71" s="1"/>
  <c r="R37" i="71"/>
  <c r="V37" i="71" s="1"/>
  <c r="Q37" i="71"/>
  <c r="U37" i="71" s="1"/>
  <c r="P37" i="71"/>
  <c r="T37" i="71" s="1"/>
  <c r="R36" i="71"/>
  <c r="V36" i="71" s="1"/>
  <c r="Q36" i="71"/>
  <c r="U36" i="71" s="1"/>
  <c r="P36" i="71"/>
  <c r="T36" i="71" s="1"/>
  <c r="R35" i="71"/>
  <c r="V35" i="71" s="1"/>
  <c r="Q35" i="71"/>
  <c r="U35" i="71" s="1"/>
  <c r="P35" i="71"/>
  <c r="T35" i="71" s="1"/>
  <c r="R34" i="71"/>
  <c r="V34" i="71" s="1"/>
  <c r="Q34" i="71"/>
  <c r="U34" i="71" s="1"/>
  <c r="P34" i="71"/>
  <c r="T34" i="71" s="1"/>
  <c r="R33" i="71"/>
  <c r="V33" i="71" s="1"/>
  <c r="Q33" i="71"/>
  <c r="U33" i="71" s="1"/>
  <c r="P33" i="71"/>
  <c r="T33" i="71" s="1"/>
  <c r="R32" i="71"/>
  <c r="V32" i="71" s="1"/>
  <c r="Q32" i="71"/>
  <c r="U32" i="71" s="1"/>
  <c r="P32" i="71"/>
  <c r="T32" i="71" s="1"/>
  <c r="R31" i="71"/>
  <c r="V31" i="71" s="1"/>
  <c r="Q31" i="71"/>
  <c r="U31" i="71" s="1"/>
  <c r="P31" i="71"/>
  <c r="T31" i="71" s="1"/>
  <c r="X27" i="71"/>
  <c r="C18" i="71" a="1"/>
  <c r="C18" i="71" s="1"/>
  <c r="B18" i="71" a="1"/>
  <c r="B18" i="71" s="1"/>
  <c r="O17" i="71"/>
  <c r="M17" i="71"/>
  <c r="L17" i="71"/>
  <c r="K17" i="71"/>
  <c r="J17" i="71"/>
  <c r="I17" i="71"/>
  <c r="G17" i="71"/>
  <c r="F27" i="71" s="1"/>
  <c r="Q17" i="71" s="1"/>
  <c r="F17" i="71"/>
  <c r="E17" i="71"/>
  <c r="F22" i="71" s="1"/>
  <c r="K58" i="71" s="1"/>
  <c r="D17" i="71"/>
  <c r="C102" i="20" s="1"/>
  <c r="B17" i="71"/>
  <c r="R16" i="71"/>
  <c r="Q16" i="71"/>
  <c r="P16" i="71"/>
  <c r="O16" i="71"/>
  <c r="M16" i="71"/>
  <c r="I16" i="71"/>
  <c r="G16" i="71"/>
  <c r="F16" i="71"/>
  <c r="E16" i="71"/>
  <c r="D16" i="71"/>
  <c r="B16" i="71"/>
  <c r="M15" i="71"/>
  <c r="A15" i="71"/>
  <c r="D14" i="71"/>
  <c r="A14" i="71"/>
  <c r="D13" i="71"/>
  <c r="A13" i="71"/>
  <c r="D12" i="71"/>
  <c r="A12" i="71"/>
  <c r="G10" i="71"/>
  <c r="D10" i="71"/>
  <c r="A10" i="71"/>
  <c r="D9" i="71"/>
  <c r="A9" i="71"/>
  <c r="D8" i="71"/>
  <c r="A8" i="71"/>
  <c r="G7" i="71"/>
  <c r="G6" i="71"/>
  <c r="D6" i="71"/>
  <c r="A6" i="71"/>
  <c r="K5" i="71"/>
  <c r="G5" i="71"/>
  <c r="D5" i="71"/>
  <c r="A5" i="71"/>
  <c r="K4" i="71"/>
  <c r="G4" i="71"/>
  <c r="D4" i="71"/>
  <c r="A4" i="71"/>
  <c r="D3" i="71"/>
  <c r="A3" i="71"/>
  <c r="N58" i="70"/>
  <c r="R39" i="70"/>
  <c r="V39" i="70" s="1"/>
  <c r="Q39" i="70"/>
  <c r="U39" i="70" s="1"/>
  <c r="P39" i="70"/>
  <c r="T39" i="70" s="1"/>
  <c r="R38" i="70"/>
  <c r="V38" i="70" s="1"/>
  <c r="Q38" i="70"/>
  <c r="U38" i="70" s="1"/>
  <c r="P38" i="70"/>
  <c r="T38" i="70" s="1"/>
  <c r="R37" i="70"/>
  <c r="V37" i="70" s="1"/>
  <c r="Q37" i="70"/>
  <c r="U37" i="70" s="1"/>
  <c r="P37" i="70"/>
  <c r="T37" i="70" s="1"/>
  <c r="R36" i="70"/>
  <c r="V36" i="70" s="1"/>
  <c r="Q36" i="70"/>
  <c r="U36" i="70" s="1"/>
  <c r="P36" i="70"/>
  <c r="T36" i="70" s="1"/>
  <c r="R35" i="70"/>
  <c r="V35" i="70" s="1"/>
  <c r="Q35" i="70"/>
  <c r="U35" i="70" s="1"/>
  <c r="P35" i="70"/>
  <c r="T35" i="70" s="1"/>
  <c r="R34" i="70"/>
  <c r="V34" i="70" s="1"/>
  <c r="Q34" i="70"/>
  <c r="U34" i="70" s="1"/>
  <c r="P34" i="70"/>
  <c r="T34" i="70" s="1"/>
  <c r="R33" i="70"/>
  <c r="V33" i="70" s="1"/>
  <c r="Q33" i="70"/>
  <c r="U33" i="70" s="1"/>
  <c r="P33" i="70"/>
  <c r="T33" i="70" s="1"/>
  <c r="R32" i="70"/>
  <c r="V32" i="70" s="1"/>
  <c r="Q32" i="70"/>
  <c r="U32" i="70" s="1"/>
  <c r="P32" i="70"/>
  <c r="T32" i="70" s="1"/>
  <c r="R31" i="70"/>
  <c r="V31" i="70" s="1"/>
  <c r="Q31" i="70"/>
  <c r="U31" i="70" s="1"/>
  <c r="P31" i="70"/>
  <c r="T31" i="70" s="1"/>
  <c r="X27" i="70"/>
  <c r="C18" i="70" a="1"/>
  <c r="C18" i="70" s="1"/>
  <c r="B18" i="70" a="1"/>
  <c r="B18" i="70" s="1"/>
  <c r="O17" i="70"/>
  <c r="M17" i="70"/>
  <c r="L17" i="70"/>
  <c r="K17" i="70"/>
  <c r="J17" i="70"/>
  <c r="I17" i="70"/>
  <c r="G17" i="70"/>
  <c r="F41" i="70" s="1"/>
  <c r="F17" i="70"/>
  <c r="F36" i="70" s="1"/>
  <c r="X31" i="70" s="1"/>
  <c r="E17" i="70"/>
  <c r="D17" i="70"/>
  <c r="C101" i="20" s="1"/>
  <c r="B17" i="70"/>
  <c r="R16" i="70"/>
  <c r="Q16" i="70"/>
  <c r="P16" i="70"/>
  <c r="O16" i="70"/>
  <c r="M16" i="70"/>
  <c r="I16" i="70"/>
  <c r="G16" i="70"/>
  <c r="F16" i="70"/>
  <c r="E16" i="70"/>
  <c r="D16" i="70"/>
  <c r="B16" i="70"/>
  <c r="M15" i="70"/>
  <c r="A15" i="70"/>
  <c r="D14" i="70"/>
  <c r="A14" i="70"/>
  <c r="D13" i="70"/>
  <c r="A13" i="70"/>
  <c r="D12" i="70"/>
  <c r="A12" i="70"/>
  <c r="G10" i="70"/>
  <c r="D10" i="70"/>
  <c r="A10" i="70"/>
  <c r="D9" i="70"/>
  <c r="A9" i="70"/>
  <c r="D8" i="70"/>
  <c r="A8" i="70"/>
  <c r="G7" i="70"/>
  <c r="G6" i="70"/>
  <c r="D6" i="70"/>
  <c r="A6" i="70"/>
  <c r="K5" i="70"/>
  <c r="G5" i="70"/>
  <c r="D5" i="70"/>
  <c r="A5" i="70"/>
  <c r="K4" i="70"/>
  <c r="G4" i="70"/>
  <c r="D4" i="70"/>
  <c r="A4" i="70"/>
  <c r="D3" i="70"/>
  <c r="A3" i="70"/>
  <c r="N58" i="69"/>
  <c r="F58" i="69"/>
  <c r="F56" i="69"/>
  <c r="R39" i="69"/>
  <c r="V39" i="69" s="1"/>
  <c r="Q39" i="69"/>
  <c r="U39" i="69" s="1"/>
  <c r="P39" i="69"/>
  <c r="T39" i="69" s="1"/>
  <c r="R38" i="69"/>
  <c r="V38" i="69" s="1"/>
  <c r="Q38" i="69"/>
  <c r="U38" i="69" s="1"/>
  <c r="P38" i="69"/>
  <c r="T38" i="69" s="1"/>
  <c r="R37" i="69"/>
  <c r="V37" i="69" s="1"/>
  <c r="Q37" i="69"/>
  <c r="U37" i="69" s="1"/>
  <c r="P37" i="69"/>
  <c r="T37" i="69" s="1"/>
  <c r="R36" i="69"/>
  <c r="V36" i="69" s="1"/>
  <c r="Q36" i="69"/>
  <c r="U36" i="69" s="1"/>
  <c r="P36" i="69"/>
  <c r="T36" i="69" s="1"/>
  <c r="R35" i="69"/>
  <c r="V35" i="69" s="1"/>
  <c r="Q35" i="69"/>
  <c r="U35" i="69" s="1"/>
  <c r="P35" i="69"/>
  <c r="T35" i="69" s="1"/>
  <c r="R34" i="69"/>
  <c r="V34" i="69" s="1"/>
  <c r="Q34" i="69"/>
  <c r="U34" i="69" s="1"/>
  <c r="P34" i="69"/>
  <c r="T34" i="69" s="1"/>
  <c r="R33" i="69"/>
  <c r="V33" i="69" s="1"/>
  <c r="Q33" i="69"/>
  <c r="U33" i="69" s="1"/>
  <c r="P33" i="69"/>
  <c r="T33" i="69" s="1"/>
  <c r="R32" i="69"/>
  <c r="V32" i="69" s="1"/>
  <c r="Q32" i="69"/>
  <c r="U32" i="69" s="1"/>
  <c r="P32" i="69"/>
  <c r="T32" i="69" s="1"/>
  <c r="R31" i="69"/>
  <c r="V31" i="69" s="1"/>
  <c r="Q31" i="69"/>
  <c r="U31" i="69" s="1"/>
  <c r="P31" i="69"/>
  <c r="T31" i="69" s="1"/>
  <c r="X27" i="69"/>
  <c r="C18" i="69" a="1"/>
  <c r="C18" i="69" s="1"/>
  <c r="B18" i="69" a="1"/>
  <c r="B18" i="69" s="1"/>
  <c r="O17" i="69"/>
  <c r="M17" i="69"/>
  <c r="L17" i="69"/>
  <c r="K17" i="69"/>
  <c r="J17" i="69"/>
  <c r="I17" i="69"/>
  <c r="G17" i="69"/>
  <c r="F41" i="69" s="1"/>
  <c r="F17" i="69"/>
  <c r="F36" i="69" s="1"/>
  <c r="X31" i="69" s="1"/>
  <c r="E17" i="69"/>
  <c r="F22" i="69" s="1"/>
  <c r="K58" i="69" s="1"/>
  <c r="D17" i="69"/>
  <c r="C100" i="20" s="1"/>
  <c r="B17" i="69"/>
  <c r="F23" i="69" s="1"/>
  <c r="R16" i="69"/>
  <c r="Q16" i="69"/>
  <c r="P16" i="69"/>
  <c r="O16" i="69"/>
  <c r="M16" i="69"/>
  <c r="I16" i="69"/>
  <c r="G16" i="69"/>
  <c r="F16" i="69"/>
  <c r="E16" i="69"/>
  <c r="D16" i="69"/>
  <c r="B16" i="69"/>
  <c r="M15" i="69"/>
  <c r="A15" i="69"/>
  <c r="D14" i="69"/>
  <c r="A14" i="69"/>
  <c r="D13" i="69"/>
  <c r="A13" i="69"/>
  <c r="D12" i="69"/>
  <c r="A12" i="69"/>
  <c r="G10" i="69"/>
  <c r="D10" i="69"/>
  <c r="A10" i="69"/>
  <c r="D9" i="69"/>
  <c r="A9" i="69"/>
  <c r="D8" i="69"/>
  <c r="A8" i="69"/>
  <c r="G7" i="69"/>
  <c r="G6" i="69"/>
  <c r="D6" i="69"/>
  <c r="A6" i="69"/>
  <c r="K5" i="69"/>
  <c r="G5" i="69"/>
  <c r="D5" i="69"/>
  <c r="A5" i="69"/>
  <c r="K4" i="69"/>
  <c r="G4" i="69"/>
  <c r="D4" i="69"/>
  <c r="A4" i="69"/>
  <c r="D3" i="69"/>
  <c r="A3" i="69"/>
  <c r="N58" i="68"/>
  <c r="F58" i="68"/>
  <c r="F56" i="68"/>
  <c r="R39" i="68"/>
  <c r="V39" i="68" s="1"/>
  <c r="Q39" i="68"/>
  <c r="U39" i="68" s="1"/>
  <c r="P39" i="68"/>
  <c r="T39" i="68" s="1"/>
  <c r="R38" i="68"/>
  <c r="V38" i="68" s="1"/>
  <c r="Q38" i="68"/>
  <c r="U38" i="68" s="1"/>
  <c r="P38" i="68"/>
  <c r="T38" i="68" s="1"/>
  <c r="R37" i="68"/>
  <c r="V37" i="68" s="1"/>
  <c r="Q37" i="68"/>
  <c r="U37" i="68" s="1"/>
  <c r="P37" i="68"/>
  <c r="T37" i="68" s="1"/>
  <c r="R36" i="68"/>
  <c r="V36" i="68" s="1"/>
  <c r="Q36" i="68"/>
  <c r="U36" i="68" s="1"/>
  <c r="P36" i="68"/>
  <c r="T36" i="68" s="1"/>
  <c r="R35" i="68"/>
  <c r="V35" i="68" s="1"/>
  <c r="Q35" i="68"/>
  <c r="U35" i="68" s="1"/>
  <c r="P35" i="68"/>
  <c r="T35" i="68" s="1"/>
  <c r="R34" i="68"/>
  <c r="V34" i="68" s="1"/>
  <c r="Q34" i="68"/>
  <c r="U34" i="68" s="1"/>
  <c r="P34" i="68"/>
  <c r="T34" i="68" s="1"/>
  <c r="R33" i="68"/>
  <c r="V33" i="68" s="1"/>
  <c r="Q33" i="68"/>
  <c r="U33" i="68" s="1"/>
  <c r="P33" i="68"/>
  <c r="T33" i="68" s="1"/>
  <c r="R32" i="68"/>
  <c r="V32" i="68" s="1"/>
  <c r="Q32" i="68"/>
  <c r="U32" i="68" s="1"/>
  <c r="P32" i="68"/>
  <c r="T32" i="68" s="1"/>
  <c r="R31" i="68"/>
  <c r="V31" i="68" s="1"/>
  <c r="Q31" i="68"/>
  <c r="U31" i="68" s="1"/>
  <c r="P31" i="68"/>
  <c r="T31" i="68" s="1"/>
  <c r="X27" i="68"/>
  <c r="C18" i="68" a="1"/>
  <c r="C18" i="68" s="1"/>
  <c r="B18" i="68" a="1"/>
  <c r="B18" i="68" s="1"/>
  <c r="O17" i="68"/>
  <c r="M17" i="68"/>
  <c r="L17" i="68"/>
  <c r="K17" i="68"/>
  <c r="J17" i="68"/>
  <c r="I17" i="68"/>
  <c r="G17" i="68"/>
  <c r="F41" i="68" s="1"/>
  <c r="F17" i="68"/>
  <c r="F26" i="68" s="1"/>
  <c r="D50" i="20" s="1"/>
  <c r="E17" i="68"/>
  <c r="F22" i="68" s="1"/>
  <c r="K58" i="68" s="1"/>
  <c r="D17" i="68"/>
  <c r="C99" i="20" s="1"/>
  <c r="B17" i="68"/>
  <c r="F23" i="68" s="1"/>
  <c r="R16" i="68"/>
  <c r="Q16" i="68"/>
  <c r="P16" i="68"/>
  <c r="O16" i="68"/>
  <c r="M16" i="68"/>
  <c r="I16" i="68"/>
  <c r="G16" i="68"/>
  <c r="F16" i="68"/>
  <c r="E16" i="68"/>
  <c r="D16" i="68"/>
  <c r="B16" i="68"/>
  <c r="M15" i="68"/>
  <c r="A15" i="68"/>
  <c r="D14" i="68"/>
  <c r="A14" i="68"/>
  <c r="D13" i="68"/>
  <c r="A13" i="68"/>
  <c r="D12" i="68"/>
  <c r="A12" i="68"/>
  <c r="G10" i="68"/>
  <c r="D10" i="68"/>
  <c r="A10" i="68"/>
  <c r="D9" i="68"/>
  <c r="A9" i="68"/>
  <c r="D8" i="68"/>
  <c r="A8" i="68"/>
  <c r="G7" i="68"/>
  <c r="G6" i="68"/>
  <c r="D6" i="68"/>
  <c r="A6" i="68"/>
  <c r="K5" i="68"/>
  <c r="G5" i="68"/>
  <c r="D5" i="68"/>
  <c r="A5" i="68"/>
  <c r="K4" i="68"/>
  <c r="G4" i="68"/>
  <c r="D4" i="68"/>
  <c r="A4" i="68"/>
  <c r="D3" i="68"/>
  <c r="A3" i="68"/>
  <c r="N58" i="67"/>
  <c r="R39" i="67"/>
  <c r="V39" i="67" s="1"/>
  <c r="Q39" i="67"/>
  <c r="U39" i="67" s="1"/>
  <c r="P39" i="67"/>
  <c r="T39" i="67" s="1"/>
  <c r="R38" i="67"/>
  <c r="V38" i="67" s="1"/>
  <c r="Q38" i="67"/>
  <c r="U38" i="67" s="1"/>
  <c r="P38" i="67"/>
  <c r="T38" i="67" s="1"/>
  <c r="U37" i="67"/>
  <c r="R37" i="67"/>
  <c r="V37" i="67" s="1"/>
  <c r="Q37" i="67"/>
  <c r="P37" i="67"/>
  <c r="T37" i="67" s="1"/>
  <c r="R36" i="67"/>
  <c r="V36" i="67" s="1"/>
  <c r="Q36" i="67"/>
  <c r="U36" i="67" s="1"/>
  <c r="P36" i="67"/>
  <c r="T36" i="67" s="1"/>
  <c r="R35" i="67"/>
  <c r="V35" i="67" s="1"/>
  <c r="Q35" i="67"/>
  <c r="U35" i="67" s="1"/>
  <c r="P35" i="67"/>
  <c r="T35" i="67" s="1"/>
  <c r="R34" i="67"/>
  <c r="V34" i="67" s="1"/>
  <c r="Q34" i="67"/>
  <c r="U34" i="67" s="1"/>
  <c r="P34" i="67"/>
  <c r="T34" i="67" s="1"/>
  <c r="R33" i="67"/>
  <c r="V33" i="67" s="1"/>
  <c r="Q33" i="67"/>
  <c r="U33" i="67" s="1"/>
  <c r="P33" i="67"/>
  <c r="T33" i="67" s="1"/>
  <c r="R32" i="67"/>
  <c r="V32" i="67" s="1"/>
  <c r="Q32" i="67"/>
  <c r="U32" i="67" s="1"/>
  <c r="P32" i="67"/>
  <c r="T32" i="67" s="1"/>
  <c r="R31" i="67"/>
  <c r="V31" i="67" s="1"/>
  <c r="Q31" i="67"/>
  <c r="U31" i="67" s="1"/>
  <c r="P31" i="67"/>
  <c r="T31" i="67" s="1"/>
  <c r="X27" i="67"/>
  <c r="C18" i="67" a="1"/>
  <c r="C18" i="67" s="1"/>
  <c r="B18" i="67" a="1"/>
  <c r="B18" i="67" s="1"/>
  <c r="O17" i="67"/>
  <c r="M17" i="67"/>
  <c r="L17" i="67"/>
  <c r="K17" i="67"/>
  <c r="J17" i="67"/>
  <c r="I17" i="67"/>
  <c r="G17" i="67"/>
  <c r="F41" i="67" s="1"/>
  <c r="F17" i="67"/>
  <c r="F36" i="67" s="1"/>
  <c r="X31" i="67" s="1"/>
  <c r="E17" i="67"/>
  <c r="D17" i="67"/>
  <c r="G49" i="20" s="1"/>
  <c r="B17" i="67"/>
  <c r="R16" i="67"/>
  <c r="Q16" i="67"/>
  <c r="P16" i="67"/>
  <c r="O16" i="67"/>
  <c r="M16" i="67"/>
  <c r="I16" i="67"/>
  <c r="G16" i="67"/>
  <c r="F16" i="67"/>
  <c r="E16" i="67"/>
  <c r="D16" i="67"/>
  <c r="B16" i="67"/>
  <c r="M15" i="67"/>
  <c r="A15" i="67"/>
  <c r="D14" i="67"/>
  <c r="A14" i="67"/>
  <c r="D13" i="67"/>
  <c r="A13" i="67"/>
  <c r="D12" i="67"/>
  <c r="A12" i="67"/>
  <c r="G10" i="67"/>
  <c r="D10" i="67"/>
  <c r="A10" i="67"/>
  <c r="D9" i="67"/>
  <c r="A9" i="67"/>
  <c r="D8" i="67"/>
  <c r="A8" i="67"/>
  <c r="G7" i="67"/>
  <c r="G6" i="67"/>
  <c r="D6" i="67"/>
  <c r="A6" i="67"/>
  <c r="K5" i="67"/>
  <c r="G5" i="67"/>
  <c r="D5" i="67"/>
  <c r="A5" i="67"/>
  <c r="K4" i="67"/>
  <c r="G4" i="67"/>
  <c r="D4" i="67"/>
  <c r="A4" i="67"/>
  <c r="D3" i="67"/>
  <c r="A3" i="67"/>
  <c r="N58" i="66"/>
  <c r="R39" i="66"/>
  <c r="V39" i="66" s="1"/>
  <c r="Q39" i="66"/>
  <c r="U39" i="66" s="1"/>
  <c r="P39" i="66"/>
  <c r="T39" i="66" s="1"/>
  <c r="R38" i="66"/>
  <c r="V38" i="66" s="1"/>
  <c r="Q38" i="66"/>
  <c r="U38" i="66" s="1"/>
  <c r="P38" i="66"/>
  <c r="T38" i="66" s="1"/>
  <c r="R37" i="66"/>
  <c r="V37" i="66" s="1"/>
  <c r="Q37" i="66"/>
  <c r="U37" i="66" s="1"/>
  <c r="P37" i="66"/>
  <c r="T37" i="66" s="1"/>
  <c r="R36" i="66"/>
  <c r="V36" i="66" s="1"/>
  <c r="Q36" i="66"/>
  <c r="U36" i="66" s="1"/>
  <c r="P36" i="66"/>
  <c r="T36" i="66" s="1"/>
  <c r="R35" i="66"/>
  <c r="V35" i="66" s="1"/>
  <c r="Q35" i="66"/>
  <c r="U35" i="66" s="1"/>
  <c r="P35" i="66"/>
  <c r="T35" i="66" s="1"/>
  <c r="R34" i="66"/>
  <c r="V34" i="66" s="1"/>
  <c r="Q34" i="66"/>
  <c r="U34" i="66" s="1"/>
  <c r="P34" i="66"/>
  <c r="T34" i="66" s="1"/>
  <c r="R33" i="66"/>
  <c r="V33" i="66" s="1"/>
  <c r="Q33" i="66"/>
  <c r="U33" i="66" s="1"/>
  <c r="P33" i="66"/>
  <c r="T33" i="66" s="1"/>
  <c r="R32" i="66"/>
  <c r="V32" i="66" s="1"/>
  <c r="Q32" i="66"/>
  <c r="U32" i="66" s="1"/>
  <c r="P32" i="66"/>
  <c r="T32" i="66" s="1"/>
  <c r="R31" i="66"/>
  <c r="V31" i="66" s="1"/>
  <c r="Q31" i="66"/>
  <c r="U31" i="66" s="1"/>
  <c r="P31" i="66"/>
  <c r="T31" i="66" s="1"/>
  <c r="X27" i="66"/>
  <c r="C18" i="66" a="1"/>
  <c r="C18" i="66" s="1"/>
  <c r="B18" i="66" a="1"/>
  <c r="B18" i="66" s="1"/>
  <c r="O17" i="66"/>
  <c r="M17" i="66"/>
  <c r="L17" i="66"/>
  <c r="K17" i="66"/>
  <c r="J17" i="66"/>
  <c r="I17" i="66"/>
  <c r="G17" i="66"/>
  <c r="F43" i="66" s="1"/>
  <c r="F17" i="66"/>
  <c r="E17" i="66"/>
  <c r="D17" i="66"/>
  <c r="G48" i="20" s="1"/>
  <c r="B17" i="66"/>
  <c r="R16" i="66"/>
  <c r="Q16" i="66"/>
  <c r="P16" i="66"/>
  <c r="O16" i="66"/>
  <c r="M16" i="66"/>
  <c r="I16" i="66"/>
  <c r="G16" i="66"/>
  <c r="F16" i="66"/>
  <c r="E16" i="66"/>
  <c r="D16" i="66"/>
  <c r="B16" i="66"/>
  <c r="M15" i="66"/>
  <c r="A15" i="66"/>
  <c r="D14" i="66"/>
  <c r="A14" i="66"/>
  <c r="D13" i="66"/>
  <c r="A13" i="66"/>
  <c r="D12" i="66"/>
  <c r="A12" i="66"/>
  <c r="G10" i="66"/>
  <c r="D10" i="66"/>
  <c r="A10" i="66"/>
  <c r="D9" i="66"/>
  <c r="A9" i="66"/>
  <c r="D8" i="66"/>
  <c r="A8" i="66"/>
  <c r="G7" i="66"/>
  <c r="G6" i="66"/>
  <c r="D6" i="66"/>
  <c r="A6" i="66"/>
  <c r="K5" i="66"/>
  <c r="G5" i="66"/>
  <c r="D5" i="66"/>
  <c r="A5" i="66"/>
  <c r="K4" i="66"/>
  <c r="G4" i="66"/>
  <c r="D4" i="66"/>
  <c r="A4" i="66"/>
  <c r="D3" i="66"/>
  <c r="A3" i="66"/>
  <c r="N58" i="65"/>
  <c r="R39" i="65"/>
  <c r="V39" i="65" s="1"/>
  <c r="Q39" i="65"/>
  <c r="U39" i="65" s="1"/>
  <c r="P39" i="65"/>
  <c r="T39" i="65" s="1"/>
  <c r="R38" i="65"/>
  <c r="V38" i="65" s="1"/>
  <c r="Q38" i="65"/>
  <c r="U38" i="65" s="1"/>
  <c r="P38" i="65"/>
  <c r="T38" i="65" s="1"/>
  <c r="R37" i="65"/>
  <c r="V37" i="65" s="1"/>
  <c r="Q37" i="65"/>
  <c r="U37" i="65" s="1"/>
  <c r="P37" i="65"/>
  <c r="T37" i="65" s="1"/>
  <c r="R36" i="65"/>
  <c r="V36" i="65" s="1"/>
  <c r="Q36" i="65"/>
  <c r="U36" i="65" s="1"/>
  <c r="P36" i="65"/>
  <c r="T36" i="65" s="1"/>
  <c r="R35" i="65"/>
  <c r="V35" i="65" s="1"/>
  <c r="Q35" i="65"/>
  <c r="U35" i="65" s="1"/>
  <c r="P35" i="65"/>
  <c r="T35" i="65" s="1"/>
  <c r="R34" i="65"/>
  <c r="V34" i="65" s="1"/>
  <c r="Q34" i="65"/>
  <c r="U34" i="65" s="1"/>
  <c r="P34" i="65"/>
  <c r="T34" i="65" s="1"/>
  <c r="R33" i="65"/>
  <c r="V33" i="65" s="1"/>
  <c r="Q33" i="65"/>
  <c r="U33" i="65" s="1"/>
  <c r="P33" i="65"/>
  <c r="T33" i="65" s="1"/>
  <c r="V32" i="65"/>
  <c r="R32" i="65"/>
  <c r="Q32" i="65"/>
  <c r="U32" i="65" s="1"/>
  <c r="P32" i="65"/>
  <c r="T32" i="65" s="1"/>
  <c r="R31" i="65"/>
  <c r="V31" i="65" s="1"/>
  <c r="Q31" i="65"/>
  <c r="U31" i="65" s="1"/>
  <c r="P31" i="65"/>
  <c r="T31" i="65" s="1"/>
  <c r="X27" i="65"/>
  <c r="C18" i="65" a="1"/>
  <c r="C18" i="65" s="1"/>
  <c r="B18" i="65" a="1"/>
  <c r="B18" i="65" s="1"/>
  <c r="O17" i="65"/>
  <c r="M17" i="65"/>
  <c r="L17" i="65"/>
  <c r="K17" i="65"/>
  <c r="J17" i="65"/>
  <c r="I17" i="65"/>
  <c r="G17" i="65"/>
  <c r="F41" i="65" s="1"/>
  <c r="F17" i="65"/>
  <c r="F36" i="65" s="1"/>
  <c r="X31" i="65" s="1"/>
  <c r="E17" i="65"/>
  <c r="F22" i="65" s="1"/>
  <c r="K58" i="65" s="1"/>
  <c r="D17" i="65"/>
  <c r="G47" i="20" s="1"/>
  <c r="B17" i="65"/>
  <c r="R16" i="65"/>
  <c r="Q16" i="65"/>
  <c r="P16" i="65"/>
  <c r="O16" i="65"/>
  <c r="M16" i="65"/>
  <c r="I16" i="65"/>
  <c r="G16" i="65"/>
  <c r="F16" i="65"/>
  <c r="E16" i="65"/>
  <c r="D16" i="65"/>
  <c r="B16" i="65"/>
  <c r="M15" i="65"/>
  <c r="A15" i="65"/>
  <c r="D14" i="65"/>
  <c r="A14" i="65"/>
  <c r="D13" i="65"/>
  <c r="A13" i="65"/>
  <c r="D12" i="65"/>
  <c r="A12" i="65"/>
  <c r="G10" i="65"/>
  <c r="D10" i="65"/>
  <c r="A10" i="65"/>
  <c r="D9" i="65"/>
  <c r="A9" i="65"/>
  <c r="D8" i="65"/>
  <c r="A8" i="65"/>
  <c r="G7" i="65"/>
  <c r="G6" i="65"/>
  <c r="D6" i="65"/>
  <c r="A6" i="65"/>
  <c r="K5" i="65"/>
  <c r="G5" i="65"/>
  <c r="D5" i="65"/>
  <c r="A5" i="65"/>
  <c r="K4" i="65"/>
  <c r="G4" i="65"/>
  <c r="D4" i="65"/>
  <c r="A4" i="65"/>
  <c r="D3" i="65"/>
  <c r="A3" i="65"/>
  <c r="N58" i="64"/>
  <c r="F58" i="64"/>
  <c r="F57" i="64"/>
  <c r="R39" i="64"/>
  <c r="V39" i="64" s="1"/>
  <c r="Q39" i="64"/>
  <c r="U39" i="64" s="1"/>
  <c r="P39" i="64"/>
  <c r="T39" i="64" s="1"/>
  <c r="R38" i="64"/>
  <c r="V38" i="64" s="1"/>
  <c r="Q38" i="64"/>
  <c r="U38" i="64" s="1"/>
  <c r="P38" i="64"/>
  <c r="T38" i="64" s="1"/>
  <c r="R37" i="64"/>
  <c r="V37" i="64" s="1"/>
  <c r="Q37" i="64"/>
  <c r="U37" i="64" s="1"/>
  <c r="P37" i="64"/>
  <c r="T37" i="64" s="1"/>
  <c r="R36" i="64"/>
  <c r="V36" i="64" s="1"/>
  <c r="Q36" i="64"/>
  <c r="U36" i="64" s="1"/>
  <c r="P36" i="64"/>
  <c r="T36" i="64" s="1"/>
  <c r="R35" i="64"/>
  <c r="V35" i="64" s="1"/>
  <c r="Q35" i="64"/>
  <c r="U35" i="64" s="1"/>
  <c r="P35" i="64"/>
  <c r="T35" i="64" s="1"/>
  <c r="R34" i="64"/>
  <c r="V34" i="64" s="1"/>
  <c r="Q34" i="64"/>
  <c r="U34" i="64" s="1"/>
  <c r="P34" i="64"/>
  <c r="T34" i="64" s="1"/>
  <c r="R33" i="64"/>
  <c r="V33" i="64" s="1"/>
  <c r="Q33" i="64"/>
  <c r="U33" i="64" s="1"/>
  <c r="P33" i="64"/>
  <c r="T33" i="64" s="1"/>
  <c r="R32" i="64"/>
  <c r="V32" i="64" s="1"/>
  <c r="Q32" i="64"/>
  <c r="U32" i="64" s="1"/>
  <c r="P32" i="64"/>
  <c r="T32" i="64" s="1"/>
  <c r="R31" i="64"/>
  <c r="V31" i="64" s="1"/>
  <c r="Q31" i="64"/>
  <c r="U31" i="64" s="1"/>
  <c r="P31" i="64"/>
  <c r="T31" i="64" s="1"/>
  <c r="X27" i="64"/>
  <c r="C18" i="64" a="1"/>
  <c r="C18" i="64" s="1"/>
  <c r="B18" i="64" a="1"/>
  <c r="B18" i="64" s="1"/>
  <c r="O17" i="64"/>
  <c r="M17" i="64"/>
  <c r="L17" i="64"/>
  <c r="K17" i="64"/>
  <c r="J17" i="64"/>
  <c r="I17" i="64"/>
  <c r="G17" i="64"/>
  <c r="F41" i="64" s="1"/>
  <c r="F17" i="64"/>
  <c r="F36" i="64" s="1"/>
  <c r="X31" i="64" s="1"/>
  <c r="E17" i="64"/>
  <c r="D17" i="64"/>
  <c r="G46" i="20" s="1"/>
  <c r="B17" i="64"/>
  <c r="F52" i="64" s="1"/>
  <c r="R16" i="64"/>
  <c r="Q16" i="64"/>
  <c r="P16" i="64"/>
  <c r="O16" i="64"/>
  <c r="M16" i="64"/>
  <c r="I16" i="64"/>
  <c r="G16" i="64"/>
  <c r="F16" i="64"/>
  <c r="E16" i="64"/>
  <c r="D16" i="64"/>
  <c r="B16" i="64"/>
  <c r="M15" i="64"/>
  <c r="A15" i="64"/>
  <c r="D14" i="64"/>
  <c r="A14" i="64"/>
  <c r="D13" i="64"/>
  <c r="A13" i="64"/>
  <c r="D12" i="64"/>
  <c r="A12" i="64"/>
  <c r="G10" i="64"/>
  <c r="D10" i="64"/>
  <c r="A10" i="64"/>
  <c r="D9" i="64"/>
  <c r="A9" i="64"/>
  <c r="D8" i="64"/>
  <c r="A8" i="64"/>
  <c r="G7" i="64"/>
  <c r="G6" i="64"/>
  <c r="D6" i="64"/>
  <c r="A6" i="64"/>
  <c r="K5" i="64"/>
  <c r="G5" i="64"/>
  <c r="D5" i="64"/>
  <c r="A5" i="64"/>
  <c r="K4" i="64"/>
  <c r="G4" i="64"/>
  <c r="D4" i="64"/>
  <c r="A4" i="64"/>
  <c r="D3" i="64"/>
  <c r="A3" i="64"/>
  <c r="N58" i="63"/>
  <c r="R39" i="63"/>
  <c r="V39" i="63" s="1"/>
  <c r="Q39" i="63"/>
  <c r="U39" i="63" s="1"/>
  <c r="P39" i="63"/>
  <c r="T39" i="63" s="1"/>
  <c r="R38" i="63"/>
  <c r="V38" i="63" s="1"/>
  <c r="Q38" i="63"/>
  <c r="U38" i="63" s="1"/>
  <c r="P38" i="63"/>
  <c r="T38" i="63" s="1"/>
  <c r="R37" i="63"/>
  <c r="V37" i="63" s="1"/>
  <c r="Q37" i="63"/>
  <c r="U37" i="63" s="1"/>
  <c r="P37" i="63"/>
  <c r="T37" i="63" s="1"/>
  <c r="R36" i="63"/>
  <c r="V36" i="63" s="1"/>
  <c r="Q36" i="63"/>
  <c r="U36" i="63" s="1"/>
  <c r="P36" i="63"/>
  <c r="T36" i="63" s="1"/>
  <c r="R35" i="63"/>
  <c r="V35" i="63" s="1"/>
  <c r="Q35" i="63"/>
  <c r="U35" i="63" s="1"/>
  <c r="P35" i="63"/>
  <c r="T35" i="63" s="1"/>
  <c r="R34" i="63"/>
  <c r="V34" i="63" s="1"/>
  <c r="Q34" i="63"/>
  <c r="U34" i="63" s="1"/>
  <c r="P34" i="63"/>
  <c r="T34" i="63" s="1"/>
  <c r="R33" i="63"/>
  <c r="V33" i="63" s="1"/>
  <c r="Q33" i="63"/>
  <c r="U33" i="63" s="1"/>
  <c r="P33" i="63"/>
  <c r="T33" i="63" s="1"/>
  <c r="R32" i="63"/>
  <c r="V32" i="63" s="1"/>
  <c r="Q32" i="63"/>
  <c r="U32" i="63" s="1"/>
  <c r="P32" i="63"/>
  <c r="T32" i="63" s="1"/>
  <c r="R31" i="63"/>
  <c r="V31" i="63" s="1"/>
  <c r="Q31" i="63"/>
  <c r="U31" i="63" s="1"/>
  <c r="P31" i="63"/>
  <c r="T31" i="63" s="1"/>
  <c r="X27" i="63"/>
  <c r="C18" i="63" a="1"/>
  <c r="C18" i="63" s="1"/>
  <c r="B18" i="63" a="1"/>
  <c r="B18" i="63" s="1"/>
  <c r="O17" i="63"/>
  <c r="M17" i="63"/>
  <c r="L17" i="63"/>
  <c r="K17" i="63"/>
  <c r="J17" i="63"/>
  <c r="I17" i="63"/>
  <c r="G17" i="63"/>
  <c r="F41" i="63" s="1"/>
  <c r="F17" i="63"/>
  <c r="F36" i="63" s="1"/>
  <c r="X31" i="63" s="1"/>
  <c r="E17" i="63"/>
  <c r="D17" i="63"/>
  <c r="C94" i="20" s="1"/>
  <c r="B17" i="63"/>
  <c r="F23" i="63" s="1"/>
  <c r="R16" i="63"/>
  <c r="Q16" i="63"/>
  <c r="P16" i="63"/>
  <c r="O16" i="63"/>
  <c r="M16" i="63"/>
  <c r="I16" i="63"/>
  <c r="G16" i="63"/>
  <c r="F16" i="63"/>
  <c r="E16" i="63"/>
  <c r="D16" i="63"/>
  <c r="B16" i="63"/>
  <c r="M15" i="63"/>
  <c r="A15" i="63"/>
  <c r="D14" i="63"/>
  <c r="A14" i="63"/>
  <c r="D13" i="63"/>
  <c r="A13" i="63"/>
  <c r="D12" i="63"/>
  <c r="A12" i="63"/>
  <c r="G10" i="63"/>
  <c r="D10" i="63"/>
  <c r="A10" i="63"/>
  <c r="D9" i="63"/>
  <c r="A9" i="63"/>
  <c r="D8" i="63"/>
  <c r="A8" i="63"/>
  <c r="G7" i="63"/>
  <c r="G6" i="63"/>
  <c r="D6" i="63"/>
  <c r="A6" i="63"/>
  <c r="K5" i="63"/>
  <c r="G5" i="63"/>
  <c r="D5" i="63"/>
  <c r="A5" i="63"/>
  <c r="K4" i="63"/>
  <c r="G4" i="63"/>
  <c r="D4" i="63"/>
  <c r="A4" i="63"/>
  <c r="D3" i="63"/>
  <c r="A3" i="63"/>
  <c r="N58" i="62"/>
  <c r="R39" i="62"/>
  <c r="V39" i="62" s="1"/>
  <c r="Q39" i="62"/>
  <c r="U39" i="62" s="1"/>
  <c r="P39" i="62"/>
  <c r="T39" i="62" s="1"/>
  <c r="R38" i="62"/>
  <c r="V38" i="62" s="1"/>
  <c r="Q38" i="62"/>
  <c r="U38" i="62" s="1"/>
  <c r="P38" i="62"/>
  <c r="T38" i="62" s="1"/>
  <c r="R37" i="62"/>
  <c r="V37" i="62" s="1"/>
  <c r="Q37" i="62"/>
  <c r="U37" i="62" s="1"/>
  <c r="P37" i="62"/>
  <c r="T37" i="62" s="1"/>
  <c r="R36" i="62"/>
  <c r="V36" i="62" s="1"/>
  <c r="Q36" i="62"/>
  <c r="U36" i="62" s="1"/>
  <c r="P36" i="62"/>
  <c r="T36" i="62" s="1"/>
  <c r="R35" i="62"/>
  <c r="V35" i="62" s="1"/>
  <c r="Q35" i="62"/>
  <c r="U35" i="62" s="1"/>
  <c r="P35" i="62"/>
  <c r="T35" i="62" s="1"/>
  <c r="R34" i="62"/>
  <c r="V34" i="62" s="1"/>
  <c r="Q34" i="62"/>
  <c r="U34" i="62" s="1"/>
  <c r="P34" i="62"/>
  <c r="T34" i="62" s="1"/>
  <c r="R33" i="62"/>
  <c r="V33" i="62" s="1"/>
  <c r="Q33" i="62"/>
  <c r="U33" i="62" s="1"/>
  <c r="P33" i="62"/>
  <c r="T33" i="62" s="1"/>
  <c r="R32" i="62"/>
  <c r="V32" i="62" s="1"/>
  <c r="Q32" i="62"/>
  <c r="U32" i="62" s="1"/>
  <c r="P32" i="62"/>
  <c r="T32" i="62" s="1"/>
  <c r="R31" i="62"/>
  <c r="V31" i="62" s="1"/>
  <c r="Q31" i="62"/>
  <c r="U31" i="62" s="1"/>
  <c r="P31" i="62"/>
  <c r="T31" i="62" s="1"/>
  <c r="X27" i="62"/>
  <c r="C18" i="62" a="1"/>
  <c r="C18" i="62" s="1"/>
  <c r="B18" i="62" a="1"/>
  <c r="B18" i="62" s="1"/>
  <c r="O17" i="62"/>
  <c r="M17" i="62"/>
  <c r="L17" i="62"/>
  <c r="K17" i="62"/>
  <c r="J17" i="62"/>
  <c r="I17" i="62"/>
  <c r="G17" i="62"/>
  <c r="F41" i="62" s="1"/>
  <c r="F17" i="62"/>
  <c r="F36" i="62" s="1"/>
  <c r="X31" i="62" s="1"/>
  <c r="E17" i="62"/>
  <c r="F22" i="62" s="1"/>
  <c r="K58" i="62" s="1"/>
  <c r="D17" i="62"/>
  <c r="C93" i="20" s="1"/>
  <c r="B17" i="62"/>
  <c r="F23" i="62" s="1"/>
  <c r="R16" i="62"/>
  <c r="Q16" i="62"/>
  <c r="P16" i="62"/>
  <c r="O16" i="62"/>
  <c r="M16" i="62"/>
  <c r="I16" i="62"/>
  <c r="G16" i="62"/>
  <c r="F16" i="62"/>
  <c r="E16" i="62"/>
  <c r="D16" i="62"/>
  <c r="B16" i="62"/>
  <c r="M15" i="62"/>
  <c r="A15" i="62"/>
  <c r="D14" i="62"/>
  <c r="A14" i="62"/>
  <c r="D13" i="62"/>
  <c r="A13" i="62"/>
  <c r="D12" i="62"/>
  <c r="A12" i="62"/>
  <c r="G10" i="62"/>
  <c r="D10" i="62"/>
  <c r="A10" i="62"/>
  <c r="D9" i="62"/>
  <c r="A9" i="62"/>
  <c r="D8" i="62"/>
  <c r="A8" i="62"/>
  <c r="G7" i="62"/>
  <c r="G6" i="62"/>
  <c r="D6" i="62"/>
  <c r="A6" i="62"/>
  <c r="K5" i="62"/>
  <c r="G5" i="62"/>
  <c r="D5" i="62"/>
  <c r="A5" i="62"/>
  <c r="K4" i="62"/>
  <c r="G4" i="62"/>
  <c r="D4" i="62"/>
  <c r="A4" i="62"/>
  <c r="D3" i="62"/>
  <c r="A3" i="62"/>
  <c r="N58" i="61"/>
  <c r="R39" i="61"/>
  <c r="V39" i="61" s="1"/>
  <c r="Q39" i="61"/>
  <c r="U39" i="61" s="1"/>
  <c r="P39" i="61"/>
  <c r="T39" i="61" s="1"/>
  <c r="R38" i="61"/>
  <c r="V38" i="61" s="1"/>
  <c r="Q38" i="61"/>
  <c r="U38" i="61" s="1"/>
  <c r="P38" i="61"/>
  <c r="T38" i="61" s="1"/>
  <c r="R37" i="61"/>
  <c r="V37" i="61" s="1"/>
  <c r="Q37" i="61"/>
  <c r="U37" i="61" s="1"/>
  <c r="P37" i="61"/>
  <c r="T37" i="61" s="1"/>
  <c r="R36" i="61"/>
  <c r="V36" i="61" s="1"/>
  <c r="Q36" i="61"/>
  <c r="U36" i="61" s="1"/>
  <c r="P36" i="61"/>
  <c r="T36" i="61" s="1"/>
  <c r="R35" i="61"/>
  <c r="V35" i="61" s="1"/>
  <c r="Q35" i="61"/>
  <c r="U35" i="61" s="1"/>
  <c r="P35" i="61"/>
  <c r="T35" i="61" s="1"/>
  <c r="R34" i="61"/>
  <c r="V34" i="61" s="1"/>
  <c r="Q34" i="61"/>
  <c r="U34" i="61" s="1"/>
  <c r="P34" i="61"/>
  <c r="T34" i="61" s="1"/>
  <c r="R33" i="61"/>
  <c r="V33" i="61" s="1"/>
  <c r="Q33" i="61"/>
  <c r="U33" i="61" s="1"/>
  <c r="P33" i="61"/>
  <c r="T33" i="61" s="1"/>
  <c r="R32" i="61"/>
  <c r="V32" i="61" s="1"/>
  <c r="Q32" i="61"/>
  <c r="U32" i="61" s="1"/>
  <c r="P32" i="61"/>
  <c r="T32" i="61" s="1"/>
  <c r="R31" i="61"/>
  <c r="V31" i="61" s="1"/>
  <c r="Q31" i="61"/>
  <c r="U31" i="61" s="1"/>
  <c r="P31" i="61"/>
  <c r="T31" i="61" s="1"/>
  <c r="X27" i="61"/>
  <c r="C18" i="61" a="1"/>
  <c r="C18" i="61" s="1"/>
  <c r="B18" i="61" a="1"/>
  <c r="B18" i="61" s="1"/>
  <c r="O17" i="61"/>
  <c r="M17" i="61"/>
  <c r="L17" i="61"/>
  <c r="K17" i="61"/>
  <c r="J17" i="61"/>
  <c r="I17" i="61"/>
  <c r="G17" i="61"/>
  <c r="F41" i="61" s="1"/>
  <c r="F17" i="61"/>
  <c r="F36" i="61" s="1"/>
  <c r="X31" i="61" s="1"/>
  <c r="E17" i="61"/>
  <c r="F22" i="61" s="1"/>
  <c r="K58" i="61" s="1"/>
  <c r="D17" i="61"/>
  <c r="C92" i="20" s="1"/>
  <c r="B17" i="61"/>
  <c r="F52" i="61" s="1"/>
  <c r="R16" i="61"/>
  <c r="Q16" i="61"/>
  <c r="P16" i="61"/>
  <c r="O16" i="61"/>
  <c r="M16" i="61"/>
  <c r="I16" i="61"/>
  <c r="G16" i="61"/>
  <c r="F16" i="61"/>
  <c r="E16" i="61"/>
  <c r="D16" i="61"/>
  <c r="B16" i="61"/>
  <c r="M15" i="61"/>
  <c r="A15" i="61"/>
  <c r="D14" i="61"/>
  <c r="A14" i="61"/>
  <c r="D13" i="61"/>
  <c r="A13" i="61"/>
  <c r="D12" i="61"/>
  <c r="A12" i="61"/>
  <c r="G10" i="61"/>
  <c r="D10" i="61"/>
  <c r="A10" i="61"/>
  <c r="D9" i="61"/>
  <c r="A9" i="61"/>
  <c r="D8" i="61"/>
  <c r="A8" i="61"/>
  <c r="G7" i="61"/>
  <c r="G6" i="61"/>
  <c r="D6" i="61"/>
  <c r="A6" i="61"/>
  <c r="K5" i="61"/>
  <c r="G5" i="61"/>
  <c r="D5" i="61"/>
  <c r="A5" i="61"/>
  <c r="K4" i="61"/>
  <c r="G4" i="61"/>
  <c r="D4" i="61"/>
  <c r="A4" i="61"/>
  <c r="D3" i="61"/>
  <c r="A3" i="61"/>
  <c r="N58" i="60"/>
  <c r="F58" i="60"/>
  <c r="F56" i="60"/>
  <c r="R39" i="60"/>
  <c r="V39" i="60" s="1"/>
  <c r="Q39" i="60"/>
  <c r="U39" i="60" s="1"/>
  <c r="P39" i="60"/>
  <c r="T39" i="60" s="1"/>
  <c r="R38" i="60"/>
  <c r="V38" i="60" s="1"/>
  <c r="Q38" i="60"/>
  <c r="U38" i="60" s="1"/>
  <c r="P38" i="60"/>
  <c r="T38" i="60" s="1"/>
  <c r="R37" i="60"/>
  <c r="V37" i="60" s="1"/>
  <c r="Q37" i="60"/>
  <c r="U37" i="60" s="1"/>
  <c r="P37" i="60"/>
  <c r="T37" i="60" s="1"/>
  <c r="R36" i="60"/>
  <c r="V36" i="60" s="1"/>
  <c r="Q36" i="60"/>
  <c r="U36" i="60" s="1"/>
  <c r="P36" i="60"/>
  <c r="T36" i="60" s="1"/>
  <c r="R35" i="60"/>
  <c r="V35" i="60" s="1"/>
  <c r="Q35" i="60"/>
  <c r="U35" i="60" s="1"/>
  <c r="P35" i="60"/>
  <c r="T35" i="60" s="1"/>
  <c r="R34" i="60"/>
  <c r="V34" i="60" s="1"/>
  <c r="Q34" i="60"/>
  <c r="U34" i="60" s="1"/>
  <c r="P34" i="60"/>
  <c r="T34" i="60" s="1"/>
  <c r="R33" i="60"/>
  <c r="V33" i="60" s="1"/>
  <c r="Q33" i="60"/>
  <c r="U33" i="60" s="1"/>
  <c r="P33" i="60"/>
  <c r="T33" i="60" s="1"/>
  <c r="R32" i="60"/>
  <c r="V32" i="60" s="1"/>
  <c r="Q32" i="60"/>
  <c r="U32" i="60" s="1"/>
  <c r="P32" i="60"/>
  <c r="T32" i="60" s="1"/>
  <c r="R31" i="60"/>
  <c r="V31" i="60" s="1"/>
  <c r="Q31" i="60"/>
  <c r="U31" i="60" s="1"/>
  <c r="P31" i="60"/>
  <c r="T31" i="60" s="1"/>
  <c r="X27" i="60"/>
  <c r="C18" i="60" a="1"/>
  <c r="C18" i="60" s="1"/>
  <c r="B18" i="60" a="1"/>
  <c r="B18" i="60" s="1"/>
  <c r="O17" i="60"/>
  <c r="M17" i="60"/>
  <c r="L17" i="60"/>
  <c r="K17" i="60"/>
  <c r="J17" i="60"/>
  <c r="I17" i="60"/>
  <c r="G17" i="60"/>
  <c r="F41" i="60" s="1"/>
  <c r="F17" i="60"/>
  <c r="E17" i="60"/>
  <c r="F22" i="60" s="1"/>
  <c r="K58" i="60" s="1"/>
  <c r="D17" i="60"/>
  <c r="C91" i="20" s="1"/>
  <c r="B17" i="60"/>
  <c r="F52" i="60" s="1"/>
  <c r="R16" i="60"/>
  <c r="Q16" i="60"/>
  <c r="P16" i="60"/>
  <c r="O16" i="60"/>
  <c r="M16" i="60"/>
  <c r="I16" i="60"/>
  <c r="G16" i="60"/>
  <c r="F16" i="60"/>
  <c r="E16" i="60"/>
  <c r="D16" i="60"/>
  <c r="B16" i="60"/>
  <c r="M15" i="60"/>
  <c r="A15" i="60"/>
  <c r="D14" i="60"/>
  <c r="A14" i="60"/>
  <c r="D13" i="60"/>
  <c r="A13" i="60"/>
  <c r="D12" i="60"/>
  <c r="A12" i="60"/>
  <c r="G10" i="60"/>
  <c r="D10" i="60"/>
  <c r="A10" i="60"/>
  <c r="D9" i="60"/>
  <c r="A9" i="60"/>
  <c r="D8" i="60"/>
  <c r="A8" i="60"/>
  <c r="G7" i="60"/>
  <c r="G6" i="60"/>
  <c r="D6" i="60"/>
  <c r="A6" i="60"/>
  <c r="K5" i="60"/>
  <c r="G5" i="60"/>
  <c r="D5" i="60"/>
  <c r="A5" i="60"/>
  <c r="K4" i="60"/>
  <c r="G4" i="60"/>
  <c r="D4" i="60"/>
  <c r="A4" i="60"/>
  <c r="D3" i="60"/>
  <c r="A3" i="60"/>
  <c r="C18" i="4" a="1"/>
  <c r="C18" i="4" s="1"/>
  <c r="B18" i="4" a="1"/>
  <c r="B18" i="4" s="1"/>
  <c r="G10" i="4"/>
  <c r="F10" i="20" a="1"/>
  <c r="F10" i="20" s="1"/>
  <c r="G17" i="4"/>
  <c r="M17" i="4"/>
  <c r="L17" i="4"/>
  <c r="K17" i="4"/>
  <c r="J17" i="4"/>
  <c r="I17" i="4"/>
  <c r="F17" i="4"/>
  <c r="E17" i="4"/>
  <c r="D17" i="4"/>
  <c r="C4" i="20"/>
  <c r="C5" i="20"/>
  <c r="C6" i="20"/>
  <c r="C3" i="20"/>
  <c r="D4" i="4"/>
  <c r="D5" i="4"/>
  <c r="D6" i="4"/>
  <c r="D3" i="4"/>
  <c r="F14" i="9"/>
  <c r="A15" i="4"/>
  <c r="A15" i="20"/>
  <c r="A125" i="7"/>
  <c r="H13" i="7"/>
  <c r="P39" i="4"/>
  <c r="T39" i="4" s="1"/>
  <c r="Q39" i="4"/>
  <c r="U39" i="4" s="1"/>
  <c r="R39" i="4"/>
  <c r="V39" i="4" s="1"/>
  <c r="B17" i="4"/>
  <c r="F23" i="4" s="1"/>
  <c r="S72" i="20"/>
  <c r="S73" i="20"/>
  <c r="S74" i="20"/>
  <c r="S75" i="20"/>
  <c r="S76" i="20"/>
  <c r="S77" i="20"/>
  <c r="S78" i="20"/>
  <c r="S79" i="20"/>
  <c r="S80" i="20"/>
  <c r="S81" i="20"/>
  <c r="S82" i="20"/>
  <c r="S83" i="20"/>
  <c r="S84" i="20"/>
  <c r="S85" i="20"/>
  <c r="S86" i="20"/>
  <c r="S87" i="20"/>
  <c r="S88" i="20"/>
  <c r="S89" i="20"/>
  <c r="S90" i="20"/>
  <c r="S71" i="20"/>
  <c r="T71" i="20"/>
  <c r="V71" i="20" s="1"/>
  <c r="N73" i="20"/>
  <c r="N74" i="20" s="1"/>
  <c r="R72" i="20"/>
  <c r="R73" i="20" s="1"/>
  <c r="Q72" i="20"/>
  <c r="Q71" i="20"/>
  <c r="P72" i="20"/>
  <c r="N72" i="20"/>
  <c r="P71" i="20"/>
  <c r="A114" i="20"/>
  <c r="A115" i="20"/>
  <c r="A116" i="20"/>
  <c r="A117" i="20"/>
  <c r="R16" i="4"/>
  <c r="Q16" i="4"/>
  <c r="P16" i="4"/>
  <c r="O16" i="4"/>
  <c r="O17" i="4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19" i="20"/>
  <c r="BP99" i="9"/>
  <c r="BP94" i="9"/>
  <c r="BP89" i="9"/>
  <c r="BP84" i="9"/>
  <c r="BP79" i="9"/>
  <c r="AL100" i="9"/>
  <c r="AL95" i="9"/>
  <c r="AL90" i="9"/>
  <c r="AL85" i="9"/>
  <c r="AL80" i="9"/>
  <c r="AL75" i="9"/>
  <c r="AL70" i="9"/>
  <c r="AL65" i="9"/>
  <c r="AL60" i="9"/>
  <c r="AL55" i="9"/>
  <c r="AL50" i="9"/>
  <c r="AL45" i="9"/>
  <c r="AL35" i="9"/>
  <c r="AL40" i="9"/>
  <c r="AL30" i="9"/>
  <c r="AI100" i="9"/>
  <c r="AJ100" i="9"/>
  <c r="AK100" i="9"/>
  <c r="AH100" i="9"/>
  <c r="AI95" i="9"/>
  <c r="AJ95" i="9"/>
  <c r="AK95" i="9"/>
  <c r="AH95" i="9"/>
  <c r="AI90" i="9"/>
  <c r="AJ90" i="9"/>
  <c r="AK90" i="9"/>
  <c r="AH90" i="9"/>
  <c r="AI85" i="9"/>
  <c r="AJ85" i="9"/>
  <c r="AK85" i="9"/>
  <c r="AH85" i="9"/>
  <c r="AI80" i="9"/>
  <c r="AJ80" i="9"/>
  <c r="AK80" i="9"/>
  <c r="AH80" i="9"/>
  <c r="AI75" i="9"/>
  <c r="AJ75" i="9"/>
  <c r="AK75" i="9"/>
  <c r="AH75" i="9"/>
  <c r="AI70" i="9"/>
  <c r="AJ70" i="9"/>
  <c r="AK70" i="9"/>
  <c r="AH70" i="9"/>
  <c r="AI65" i="9"/>
  <c r="AJ65" i="9"/>
  <c r="AK65" i="9"/>
  <c r="AH65" i="9"/>
  <c r="AI55" i="9"/>
  <c r="AJ55" i="9"/>
  <c r="AK55" i="9"/>
  <c r="AH55" i="9"/>
  <c r="AI50" i="9"/>
  <c r="AJ50" i="9"/>
  <c r="AK50" i="9"/>
  <c r="AH50" i="9"/>
  <c r="AI98" i="9"/>
  <c r="AI99" i="9" s="1"/>
  <c r="AJ98" i="9"/>
  <c r="AJ99" i="9" s="1"/>
  <c r="AK98" i="9"/>
  <c r="AK99" i="9" s="1"/>
  <c r="AH98" i="9"/>
  <c r="AH99" i="9" s="1"/>
  <c r="AI93" i="9"/>
  <c r="AI94" i="9" s="1"/>
  <c r="AJ93" i="9"/>
  <c r="AJ94" i="9" s="1"/>
  <c r="AK93" i="9"/>
  <c r="AK94" i="9" s="1"/>
  <c r="AH93" i="9"/>
  <c r="AH94" i="9" s="1"/>
  <c r="AI88" i="9"/>
  <c r="AI89" i="9" s="1"/>
  <c r="AJ88" i="9"/>
  <c r="AJ89" i="9" s="1"/>
  <c r="AK88" i="9"/>
  <c r="AK89" i="9" s="1"/>
  <c r="AH88" i="9"/>
  <c r="AH89" i="9" s="1"/>
  <c r="AI83" i="9"/>
  <c r="AI84" i="9" s="1"/>
  <c r="AJ83" i="9"/>
  <c r="AJ84" i="9" s="1"/>
  <c r="AK83" i="9"/>
  <c r="AK84" i="9" s="1"/>
  <c r="AH83" i="9"/>
  <c r="AH84" i="9" s="1"/>
  <c r="AI78" i="9"/>
  <c r="AI79" i="9" s="1"/>
  <c r="AJ78" i="9"/>
  <c r="AJ79" i="9" s="1"/>
  <c r="AK78" i="9"/>
  <c r="AK79" i="9" s="1"/>
  <c r="AH78" i="9"/>
  <c r="AH79" i="9" s="1"/>
  <c r="AI73" i="9"/>
  <c r="AI74" i="9" s="1"/>
  <c r="AJ73" i="9"/>
  <c r="AJ74" i="9" s="1"/>
  <c r="AK73" i="9"/>
  <c r="AK74" i="9" s="1"/>
  <c r="AH73" i="9"/>
  <c r="AH74" i="9" s="1"/>
  <c r="AI68" i="9"/>
  <c r="AI69" i="9" s="1"/>
  <c r="AJ68" i="9"/>
  <c r="AJ69" i="9" s="1"/>
  <c r="AK68" i="9"/>
  <c r="AK69" i="9" s="1"/>
  <c r="AH68" i="9"/>
  <c r="AH69" i="9" s="1"/>
  <c r="AI63" i="9"/>
  <c r="AI64" i="9" s="1"/>
  <c r="AJ63" i="9"/>
  <c r="AJ64" i="9" s="1"/>
  <c r="AK63" i="9"/>
  <c r="AK64" i="9" s="1"/>
  <c r="AH63" i="9"/>
  <c r="AH64" i="9" s="1"/>
  <c r="AI58" i="9"/>
  <c r="AJ58" i="9"/>
  <c r="AK58" i="9"/>
  <c r="AH58" i="9"/>
  <c r="AI53" i="9"/>
  <c r="AJ53" i="9"/>
  <c r="AK53" i="9"/>
  <c r="AH53" i="9"/>
  <c r="AI48" i="9"/>
  <c r="AJ48" i="9"/>
  <c r="AK48" i="9"/>
  <c r="AH48" i="9"/>
  <c r="AI43" i="9"/>
  <c r="AJ43" i="9"/>
  <c r="AK43" i="9"/>
  <c r="AH43" i="9"/>
  <c r="AI38" i="9"/>
  <c r="AJ38" i="9"/>
  <c r="AK38" i="9"/>
  <c r="AH38" i="9"/>
  <c r="AI33" i="9"/>
  <c r="AI34" i="9" s="1"/>
  <c r="AJ33" i="9"/>
  <c r="AK33" i="9"/>
  <c r="AH33" i="9"/>
  <c r="AI28" i="9"/>
  <c r="AJ28" i="9"/>
  <c r="AK28" i="9"/>
  <c r="AH28" i="9"/>
  <c r="AG100" i="9"/>
  <c r="AG99" i="9" s="1"/>
  <c r="AF100" i="9"/>
  <c r="AF99" i="9" s="1"/>
  <c r="AG95" i="9"/>
  <c r="AG94" i="9" s="1"/>
  <c r="AF95" i="9"/>
  <c r="BO94" i="9" s="1"/>
  <c r="AG90" i="9"/>
  <c r="AG89" i="9" s="1"/>
  <c r="AF90" i="9"/>
  <c r="BO89" i="9" s="1"/>
  <c r="AG85" i="9"/>
  <c r="AG84" i="9" s="1"/>
  <c r="AF85" i="9"/>
  <c r="AF84" i="9" s="1"/>
  <c r="AG80" i="9"/>
  <c r="AG79" i="9" s="1"/>
  <c r="AF80" i="9"/>
  <c r="AF79" i="9" s="1"/>
  <c r="AF5" i="9"/>
  <c r="AF4" i="9" s="1"/>
  <c r="AB8" i="9"/>
  <c r="AB13" i="9" s="1"/>
  <c r="AB18" i="9" s="1"/>
  <c r="AB23" i="9" s="1"/>
  <c r="AB28" i="9" s="1"/>
  <c r="AB33" i="9" s="1"/>
  <c r="AB38" i="9" s="1"/>
  <c r="AB43" i="9" s="1"/>
  <c r="AB48" i="9" s="1"/>
  <c r="AB53" i="9" s="1"/>
  <c r="AB58" i="9" s="1"/>
  <c r="AB63" i="9" s="1"/>
  <c r="AB68" i="9" s="1"/>
  <c r="AB73" i="9" s="1"/>
  <c r="AB78" i="9" s="1"/>
  <c r="AB83" i="9" s="1"/>
  <c r="AB88" i="9" s="1"/>
  <c r="AB93" i="9" s="1"/>
  <c r="AB98" i="9" s="1"/>
  <c r="AD98" i="9"/>
  <c r="AD93" i="9"/>
  <c r="BN94" i="9" s="1"/>
  <c r="AD88" i="9"/>
  <c r="AD83" i="9"/>
  <c r="G142" i="20" s="1"/>
  <c r="AC97" i="9"/>
  <c r="BM97" i="9" s="1"/>
  <c r="AC92" i="9"/>
  <c r="BM92" i="9" s="1"/>
  <c r="AC87" i="9"/>
  <c r="BM87" i="9" s="1"/>
  <c r="AC82" i="9"/>
  <c r="BM82" i="9" s="1"/>
  <c r="AC77" i="9"/>
  <c r="BM77" i="9" s="1"/>
  <c r="AD78" i="9"/>
  <c r="BN79" i="9" s="1"/>
  <c r="AD73" i="9"/>
  <c r="E140" i="20" s="1"/>
  <c r="AD68" i="9"/>
  <c r="AD63" i="9"/>
  <c r="D138" i="20" s="1"/>
  <c r="AD58" i="9"/>
  <c r="BN59" i="9" s="1"/>
  <c r="AD53" i="9"/>
  <c r="E136" i="20" s="1"/>
  <c r="AD48" i="9"/>
  <c r="D135" i="20" s="1"/>
  <c r="AD43" i="9"/>
  <c r="AD38" i="9"/>
  <c r="E133" i="20" s="1"/>
  <c r="AD33" i="9"/>
  <c r="AD28" i="9"/>
  <c r="A76" i="7"/>
  <c r="A78" i="7"/>
  <c r="A80" i="7"/>
  <c r="A82" i="7"/>
  <c r="A84" i="7"/>
  <c r="A86" i="7"/>
  <c r="A88" i="7"/>
  <c r="A90" i="7"/>
  <c r="A92" i="7"/>
  <c r="A94" i="7"/>
  <c r="A96" i="7"/>
  <c r="A98" i="7"/>
  <c r="A100" i="7"/>
  <c r="A102" i="7"/>
  <c r="A104" i="7"/>
  <c r="A106" i="7"/>
  <c r="A108" i="7"/>
  <c r="A110" i="7"/>
  <c r="A112" i="7"/>
  <c r="A74" i="7"/>
  <c r="G112" i="7"/>
  <c r="F112" i="7"/>
  <c r="E112" i="7"/>
  <c r="B112" i="7"/>
  <c r="G110" i="7"/>
  <c r="F110" i="7"/>
  <c r="E110" i="7"/>
  <c r="B110" i="7"/>
  <c r="G108" i="7"/>
  <c r="F108" i="7"/>
  <c r="E108" i="7"/>
  <c r="B108" i="7"/>
  <c r="G106" i="7"/>
  <c r="F106" i="7"/>
  <c r="E106" i="7"/>
  <c r="B106" i="7"/>
  <c r="N104" i="7"/>
  <c r="G104" i="7"/>
  <c r="F104" i="7"/>
  <c r="E104" i="7"/>
  <c r="B104" i="7"/>
  <c r="O65" i="7"/>
  <c r="I65" i="7"/>
  <c r="H17" i="78" s="1"/>
  <c r="O63" i="7"/>
  <c r="I63" i="7"/>
  <c r="H17" i="77" s="1"/>
  <c r="O61" i="7"/>
  <c r="I61" i="7"/>
  <c r="H17" i="76" s="1"/>
  <c r="O59" i="7"/>
  <c r="I59" i="7"/>
  <c r="H17" i="75" s="1"/>
  <c r="O57" i="7"/>
  <c r="I57" i="7"/>
  <c r="H17" i="74" s="1"/>
  <c r="AC72" i="9"/>
  <c r="BM72" i="9" s="1"/>
  <c r="AC67" i="9"/>
  <c r="BM67" i="9" s="1"/>
  <c r="AC62" i="9"/>
  <c r="BM62" i="9" s="1"/>
  <c r="AC57" i="9"/>
  <c r="BM57" i="9" s="1"/>
  <c r="AC52" i="9"/>
  <c r="BM52" i="9" s="1"/>
  <c r="AC47" i="9"/>
  <c r="BM47" i="9" s="1"/>
  <c r="AC42" i="9"/>
  <c r="BM42" i="9" s="1"/>
  <c r="AC37" i="9"/>
  <c r="BM37" i="9" s="1"/>
  <c r="AC32" i="9"/>
  <c r="BM32" i="9" s="1"/>
  <c r="AC27" i="9"/>
  <c r="BM27" i="9" s="1"/>
  <c r="AC22" i="9"/>
  <c r="BM22" i="9" s="1"/>
  <c r="AC17" i="9"/>
  <c r="BM17" i="9" s="1"/>
  <c r="AC12" i="9"/>
  <c r="BM12" i="9" s="1"/>
  <c r="AC7" i="9"/>
  <c r="BM7" i="9" s="1"/>
  <c r="AC2" i="9"/>
  <c r="BM2" i="9" s="1"/>
  <c r="BE98" i="9"/>
  <c r="BD98" i="9"/>
  <c r="BC98" i="9"/>
  <c r="BB98" i="9"/>
  <c r="BA98" i="9"/>
  <c r="AZ98" i="9"/>
  <c r="AY98" i="9"/>
  <c r="AX98" i="9"/>
  <c r="AW98" i="9"/>
  <c r="AV98" i="9"/>
  <c r="AU98" i="9"/>
  <c r="AT98" i="9"/>
  <c r="AS98" i="9"/>
  <c r="AP97" i="9"/>
  <c r="AO97" i="9"/>
  <c r="AN97" i="9"/>
  <c r="AM97" i="9"/>
  <c r="AL97" i="9"/>
  <c r="AG97" i="9"/>
  <c r="AF97" i="9"/>
  <c r="BE93" i="9"/>
  <c r="BD93" i="9"/>
  <c r="BC93" i="9"/>
  <c r="BB93" i="9"/>
  <c r="BA93" i="9"/>
  <c r="AZ93" i="9"/>
  <c r="AY93" i="9"/>
  <c r="AX93" i="9"/>
  <c r="AW93" i="9"/>
  <c r="AV93" i="9"/>
  <c r="AU93" i="9"/>
  <c r="AT93" i="9"/>
  <c r="AS93" i="9"/>
  <c r="AP92" i="9"/>
  <c r="AO92" i="9"/>
  <c r="AN92" i="9"/>
  <c r="AM92" i="9"/>
  <c r="AL92" i="9"/>
  <c r="AG92" i="9"/>
  <c r="AF92" i="9"/>
  <c r="BE88" i="9"/>
  <c r="BD88" i="9"/>
  <c r="BC88" i="9"/>
  <c r="BB88" i="9"/>
  <c r="BA88" i="9"/>
  <c r="AZ88" i="9"/>
  <c r="AY88" i="9"/>
  <c r="AX88" i="9"/>
  <c r="AW88" i="9"/>
  <c r="AV88" i="9"/>
  <c r="AU88" i="9"/>
  <c r="AT88" i="9"/>
  <c r="AS88" i="9"/>
  <c r="AP87" i="9"/>
  <c r="AO87" i="9"/>
  <c r="AN87" i="9"/>
  <c r="AM87" i="9"/>
  <c r="AL87" i="9"/>
  <c r="AG87" i="9"/>
  <c r="AF87" i="9"/>
  <c r="BE83" i="9"/>
  <c r="BD83" i="9"/>
  <c r="BC83" i="9"/>
  <c r="BB83" i="9"/>
  <c r="BA83" i="9"/>
  <c r="AZ83" i="9"/>
  <c r="AY83" i="9"/>
  <c r="AX83" i="9"/>
  <c r="AW83" i="9"/>
  <c r="AV83" i="9"/>
  <c r="AU83" i="9"/>
  <c r="AT83" i="9"/>
  <c r="AS83" i="9"/>
  <c r="AP82" i="9"/>
  <c r="AO82" i="9"/>
  <c r="AN82" i="9"/>
  <c r="AM82" i="9"/>
  <c r="AL82" i="9"/>
  <c r="AG82" i="9"/>
  <c r="AF82" i="9"/>
  <c r="BE78" i="9"/>
  <c r="BD78" i="9"/>
  <c r="BC78" i="9"/>
  <c r="BB78" i="9"/>
  <c r="BA78" i="9"/>
  <c r="AZ78" i="9"/>
  <c r="AY78" i="9"/>
  <c r="AX78" i="9"/>
  <c r="AW78" i="9"/>
  <c r="AV78" i="9"/>
  <c r="AU78" i="9"/>
  <c r="AT78" i="9"/>
  <c r="AS78" i="9"/>
  <c r="AP77" i="9"/>
  <c r="AO77" i="9"/>
  <c r="AN77" i="9"/>
  <c r="AM77" i="9"/>
  <c r="AL77" i="9"/>
  <c r="AG77" i="9"/>
  <c r="AF77" i="9"/>
  <c r="AK60" i="9"/>
  <c r="AJ60" i="9"/>
  <c r="AI60" i="9"/>
  <c r="AH60" i="9"/>
  <c r="AH45" i="9"/>
  <c r="AH40" i="9"/>
  <c r="AH35" i="9"/>
  <c r="AH30" i="9"/>
  <c r="AG75" i="9"/>
  <c r="AG74" i="9" s="1"/>
  <c r="AG70" i="9"/>
  <c r="AG69" i="9" s="1"/>
  <c r="AG65" i="9"/>
  <c r="AG64" i="9" s="1"/>
  <c r="AG60" i="9"/>
  <c r="AG59" i="9" s="1"/>
  <c r="AG55" i="9"/>
  <c r="AG54" i="9" s="1"/>
  <c r="AG50" i="9"/>
  <c r="AG49" i="9" s="1"/>
  <c r="AG45" i="9"/>
  <c r="AG44" i="9" s="1"/>
  <c r="AG40" i="9"/>
  <c r="AG39" i="9" s="1"/>
  <c r="AG35" i="9"/>
  <c r="AG34" i="9" s="1"/>
  <c r="AG30" i="9"/>
  <c r="AG29" i="9" s="1"/>
  <c r="AF75" i="9"/>
  <c r="BO74" i="9" s="1"/>
  <c r="AF70" i="9"/>
  <c r="AF69" i="9" s="1"/>
  <c r="AF65" i="9"/>
  <c r="BO64" i="9" s="1"/>
  <c r="AF60" i="9"/>
  <c r="AF59" i="9" s="1"/>
  <c r="AF55" i="9"/>
  <c r="BO54" i="9" s="1"/>
  <c r="AF50" i="9"/>
  <c r="BO49" i="9" s="1"/>
  <c r="AF45" i="9"/>
  <c r="AF44" i="9" s="1"/>
  <c r="AF40" i="9"/>
  <c r="AF39" i="9" s="1"/>
  <c r="AF35" i="9"/>
  <c r="BO34" i="9" s="1"/>
  <c r="AF30" i="9"/>
  <c r="BO29" i="9" s="1"/>
  <c r="BP74" i="9"/>
  <c r="BP69" i="9"/>
  <c r="BP64" i="9"/>
  <c r="BP59" i="9"/>
  <c r="BP54" i="9"/>
  <c r="BP49" i="9"/>
  <c r="BP44" i="9"/>
  <c r="BP39" i="9"/>
  <c r="BP34" i="9"/>
  <c r="BP29" i="9"/>
  <c r="A73" i="7"/>
  <c r="BE73" i="9"/>
  <c r="BD73" i="9"/>
  <c r="BC73" i="9"/>
  <c r="BB73" i="9"/>
  <c r="BA73" i="9"/>
  <c r="AZ73" i="9"/>
  <c r="AY73" i="9"/>
  <c r="AX73" i="9"/>
  <c r="AW73" i="9"/>
  <c r="AV73" i="9"/>
  <c r="AU73" i="9"/>
  <c r="AT73" i="9"/>
  <c r="AS73" i="9"/>
  <c r="AP72" i="9"/>
  <c r="AO72" i="9"/>
  <c r="AN72" i="9"/>
  <c r="AM72" i="9"/>
  <c r="AL72" i="9"/>
  <c r="AG72" i="9"/>
  <c r="AF72" i="9"/>
  <c r="BE68" i="9"/>
  <c r="BD68" i="9"/>
  <c r="BC68" i="9"/>
  <c r="BB68" i="9"/>
  <c r="BA68" i="9"/>
  <c r="AZ68" i="9"/>
  <c r="AY68" i="9"/>
  <c r="AX68" i="9"/>
  <c r="AW68" i="9"/>
  <c r="AV68" i="9"/>
  <c r="AU68" i="9"/>
  <c r="AT68" i="9"/>
  <c r="AS68" i="9"/>
  <c r="AP67" i="9"/>
  <c r="AO67" i="9"/>
  <c r="AN67" i="9"/>
  <c r="AM67" i="9"/>
  <c r="AL67" i="9"/>
  <c r="AG67" i="9"/>
  <c r="AF67" i="9"/>
  <c r="BE63" i="9"/>
  <c r="BD63" i="9"/>
  <c r="BC63" i="9"/>
  <c r="BB63" i="9"/>
  <c r="BA63" i="9"/>
  <c r="AZ63" i="9"/>
  <c r="AY63" i="9"/>
  <c r="AX63" i="9"/>
  <c r="AW63" i="9"/>
  <c r="AV63" i="9"/>
  <c r="AU63" i="9"/>
  <c r="AT63" i="9"/>
  <c r="AS63" i="9"/>
  <c r="AP62" i="9"/>
  <c r="AO62" i="9"/>
  <c r="AN62" i="9"/>
  <c r="AM62" i="9"/>
  <c r="AL62" i="9"/>
  <c r="AG62" i="9"/>
  <c r="AF62" i="9"/>
  <c r="BE58" i="9"/>
  <c r="BD58" i="9"/>
  <c r="BC58" i="9"/>
  <c r="BB58" i="9"/>
  <c r="BA58" i="9"/>
  <c r="AZ58" i="9"/>
  <c r="AY58" i="9"/>
  <c r="AX58" i="9"/>
  <c r="AW58" i="9"/>
  <c r="AV58" i="9"/>
  <c r="AU58" i="9"/>
  <c r="AT58" i="9"/>
  <c r="AS58" i="9"/>
  <c r="AP57" i="9"/>
  <c r="AO57" i="9"/>
  <c r="AN57" i="9"/>
  <c r="AM57" i="9"/>
  <c r="AL57" i="9"/>
  <c r="AG57" i="9"/>
  <c r="AF57" i="9"/>
  <c r="BE53" i="9"/>
  <c r="BD53" i="9"/>
  <c r="BC53" i="9"/>
  <c r="BB53" i="9"/>
  <c r="BA53" i="9"/>
  <c r="AZ53" i="9"/>
  <c r="AY53" i="9"/>
  <c r="AX53" i="9"/>
  <c r="AW53" i="9"/>
  <c r="AV53" i="9"/>
  <c r="AU53" i="9"/>
  <c r="AT53" i="9"/>
  <c r="AS53" i="9"/>
  <c r="AP52" i="9"/>
  <c r="AO52" i="9"/>
  <c r="AN52" i="9"/>
  <c r="AM52" i="9"/>
  <c r="AL52" i="9"/>
  <c r="AG52" i="9"/>
  <c r="AF52" i="9"/>
  <c r="BE48" i="9"/>
  <c r="BD48" i="9"/>
  <c r="BC48" i="9"/>
  <c r="BB48" i="9"/>
  <c r="BA48" i="9"/>
  <c r="AZ48" i="9"/>
  <c r="AY48" i="9"/>
  <c r="AX48" i="9"/>
  <c r="AW48" i="9"/>
  <c r="AV48" i="9"/>
  <c r="AU48" i="9"/>
  <c r="AT48" i="9"/>
  <c r="AS48" i="9"/>
  <c r="AP47" i="9"/>
  <c r="AO47" i="9"/>
  <c r="AN47" i="9"/>
  <c r="AM47" i="9"/>
  <c r="AL47" i="9"/>
  <c r="AG47" i="9"/>
  <c r="AF47" i="9"/>
  <c r="AK45" i="9"/>
  <c r="AJ45" i="9"/>
  <c r="AI45" i="9"/>
  <c r="BE43" i="9"/>
  <c r="BD43" i="9"/>
  <c r="BC43" i="9"/>
  <c r="BB43" i="9"/>
  <c r="BA43" i="9"/>
  <c r="AZ43" i="9"/>
  <c r="AY43" i="9"/>
  <c r="AX43" i="9"/>
  <c r="AW43" i="9"/>
  <c r="AV43" i="9"/>
  <c r="AU43" i="9"/>
  <c r="AT43" i="9"/>
  <c r="AS43" i="9"/>
  <c r="AP42" i="9"/>
  <c r="AO42" i="9"/>
  <c r="AN42" i="9"/>
  <c r="AM42" i="9"/>
  <c r="AL42" i="9"/>
  <c r="AG42" i="9"/>
  <c r="AF42" i="9"/>
  <c r="AK40" i="9"/>
  <c r="AJ40" i="9"/>
  <c r="AI40" i="9"/>
  <c r="BE38" i="9"/>
  <c r="BD38" i="9"/>
  <c r="BC38" i="9"/>
  <c r="BB38" i="9"/>
  <c r="BA38" i="9"/>
  <c r="AZ38" i="9"/>
  <c r="AY38" i="9"/>
  <c r="AX38" i="9"/>
  <c r="AW38" i="9"/>
  <c r="AV38" i="9"/>
  <c r="AU38" i="9"/>
  <c r="AT38" i="9"/>
  <c r="AS38" i="9"/>
  <c r="AP37" i="9"/>
  <c r="AO37" i="9"/>
  <c r="AN37" i="9"/>
  <c r="AM37" i="9"/>
  <c r="AL37" i="9"/>
  <c r="AG37" i="9"/>
  <c r="AF37" i="9"/>
  <c r="AK35" i="9"/>
  <c r="AJ35" i="9"/>
  <c r="AI35" i="9"/>
  <c r="BE33" i="9"/>
  <c r="BD33" i="9"/>
  <c r="BC33" i="9"/>
  <c r="BB33" i="9"/>
  <c r="BA33" i="9"/>
  <c r="AZ33" i="9"/>
  <c r="AY33" i="9"/>
  <c r="AX33" i="9"/>
  <c r="AW33" i="9"/>
  <c r="AV33" i="9"/>
  <c r="AU33" i="9"/>
  <c r="AT33" i="9"/>
  <c r="AS33" i="9"/>
  <c r="AP32" i="9"/>
  <c r="AO32" i="9"/>
  <c r="AN32" i="9"/>
  <c r="AM32" i="9"/>
  <c r="AL32" i="9"/>
  <c r="AG32" i="9"/>
  <c r="AF32" i="9"/>
  <c r="AK30" i="9"/>
  <c r="AJ30" i="9"/>
  <c r="AI30" i="9"/>
  <c r="BE28" i="9"/>
  <c r="BD28" i="9"/>
  <c r="BC28" i="9"/>
  <c r="BB28" i="9"/>
  <c r="BA28" i="9"/>
  <c r="AZ28" i="9"/>
  <c r="AY28" i="9"/>
  <c r="AX28" i="9"/>
  <c r="AW28" i="9"/>
  <c r="AV28" i="9"/>
  <c r="AU28" i="9"/>
  <c r="AT28" i="9"/>
  <c r="AS28" i="9"/>
  <c r="AP27" i="9"/>
  <c r="AO27" i="9"/>
  <c r="AN27" i="9"/>
  <c r="AM27" i="9"/>
  <c r="AL27" i="9"/>
  <c r="AG27" i="9"/>
  <c r="AF27" i="9"/>
  <c r="G102" i="7"/>
  <c r="F102" i="7"/>
  <c r="E102" i="7"/>
  <c r="B102" i="7"/>
  <c r="G100" i="7"/>
  <c r="F100" i="7"/>
  <c r="E100" i="7"/>
  <c r="B100" i="7"/>
  <c r="G98" i="7"/>
  <c r="F98" i="7"/>
  <c r="E98" i="7"/>
  <c r="B98" i="7"/>
  <c r="G96" i="7"/>
  <c r="F96" i="7"/>
  <c r="E96" i="7"/>
  <c r="B96" i="7"/>
  <c r="G94" i="7"/>
  <c r="F94" i="7"/>
  <c r="E94" i="7"/>
  <c r="B94" i="7"/>
  <c r="G92" i="7"/>
  <c r="F92" i="7"/>
  <c r="E92" i="7"/>
  <c r="B92" i="7"/>
  <c r="G90" i="7"/>
  <c r="F90" i="7"/>
  <c r="E90" i="7"/>
  <c r="B90" i="7"/>
  <c r="G88" i="7"/>
  <c r="F88" i="7"/>
  <c r="E88" i="7"/>
  <c r="B88" i="7"/>
  <c r="G86" i="7"/>
  <c r="F86" i="7"/>
  <c r="E86" i="7"/>
  <c r="B86" i="7"/>
  <c r="G84" i="7"/>
  <c r="F84" i="7"/>
  <c r="E84" i="7"/>
  <c r="B84" i="7"/>
  <c r="B82" i="7"/>
  <c r="O55" i="7"/>
  <c r="I55" i="7"/>
  <c r="O53" i="7"/>
  <c r="I53" i="7"/>
  <c r="O51" i="7"/>
  <c r="I51" i="7"/>
  <c r="O49" i="7"/>
  <c r="I49" i="7"/>
  <c r="F55" i="70" s="1"/>
  <c r="O47" i="7"/>
  <c r="I47" i="7"/>
  <c r="H17" i="69" s="1"/>
  <c r="O45" i="7"/>
  <c r="I45" i="7"/>
  <c r="F55" i="68" s="1"/>
  <c r="O43" i="7"/>
  <c r="I43" i="7"/>
  <c r="O41" i="7"/>
  <c r="I41" i="7"/>
  <c r="H17" i="66" s="1"/>
  <c r="O39" i="7"/>
  <c r="I39" i="7"/>
  <c r="O37" i="7"/>
  <c r="I37" i="7"/>
  <c r="H17" i="64" s="1"/>
  <c r="N58" i="4"/>
  <c r="F55" i="71" l="1"/>
  <c r="F55" i="72"/>
  <c r="F55" i="67"/>
  <c r="D55" i="65"/>
  <c r="D96" i="20" s="1"/>
  <c r="F55" i="73"/>
  <c r="F55" i="66"/>
  <c r="H17" i="72"/>
  <c r="F37" i="72" s="1"/>
  <c r="X26" i="72" s="1"/>
  <c r="H17" i="67"/>
  <c r="F37" i="67" s="1"/>
  <c r="X26" i="67" s="1"/>
  <c r="H17" i="71"/>
  <c r="F37" i="71" s="1"/>
  <c r="F55" i="64"/>
  <c r="H17" i="70"/>
  <c r="F37" i="70" s="1"/>
  <c r="X26" i="70" s="1"/>
  <c r="H17" i="68"/>
  <c r="F37" i="68" s="1"/>
  <c r="F55" i="76"/>
  <c r="F55" i="77"/>
  <c r="F55" i="78"/>
  <c r="F55" i="75"/>
  <c r="H17" i="65"/>
  <c r="F37" i="65" s="1"/>
  <c r="X26" i="65" s="1"/>
  <c r="F55" i="69"/>
  <c r="H17" i="73"/>
  <c r="F37" i="73" s="1"/>
  <c r="X26" i="73" s="1"/>
  <c r="F55" i="74"/>
  <c r="D57" i="61"/>
  <c r="F92" i="20" s="1"/>
  <c r="F33" i="69"/>
  <c r="F55" i="65"/>
  <c r="D57" i="67"/>
  <c r="F98" i="20" s="1"/>
  <c r="F33" i="75"/>
  <c r="D57" i="74"/>
  <c r="F105" i="20" s="1"/>
  <c r="G42" i="20"/>
  <c r="F42" i="63"/>
  <c r="F44" i="66"/>
  <c r="F42" i="67"/>
  <c r="F42" i="78"/>
  <c r="G58" i="20"/>
  <c r="F37" i="66"/>
  <c r="F42" i="73"/>
  <c r="G60" i="20"/>
  <c r="F42" i="64"/>
  <c r="F44" i="70"/>
  <c r="F56" i="77"/>
  <c r="C95" i="20"/>
  <c r="C97" i="20"/>
  <c r="D57" i="69"/>
  <c r="F100" i="20" s="1"/>
  <c r="D57" i="78"/>
  <c r="F109" i="20" s="1"/>
  <c r="C103" i="20"/>
  <c r="G32" i="64"/>
  <c r="S32" i="64" s="1"/>
  <c r="F26" i="73"/>
  <c r="P17" i="73" s="1"/>
  <c r="F22" i="64"/>
  <c r="K58" i="64" s="1"/>
  <c r="G43" i="20"/>
  <c r="G51" i="20"/>
  <c r="G59" i="20"/>
  <c r="C96" i="20"/>
  <c r="C104" i="20"/>
  <c r="G50" i="20"/>
  <c r="F57" i="68"/>
  <c r="F33" i="74"/>
  <c r="G44" i="20"/>
  <c r="G52" i="20"/>
  <c r="C105" i="20"/>
  <c r="F45" i="66"/>
  <c r="D58" i="74"/>
  <c r="G105" i="20" s="1"/>
  <c r="F52" i="4"/>
  <c r="D57" i="62"/>
  <c r="F93" i="20" s="1"/>
  <c r="D56" i="66"/>
  <c r="E97" i="20" s="1"/>
  <c r="D58" i="75"/>
  <c r="G106" i="20" s="1"/>
  <c r="F44" i="78"/>
  <c r="G45" i="20"/>
  <c r="G53" i="20"/>
  <c r="C90" i="20"/>
  <c r="C98" i="20"/>
  <c r="C106" i="20"/>
  <c r="F56" i="65"/>
  <c r="F33" i="61"/>
  <c r="F42" i="68"/>
  <c r="G32" i="61"/>
  <c r="S37" i="61" s="1"/>
  <c r="F42" i="62"/>
  <c r="F44" i="63"/>
  <c r="F33" i="65"/>
  <c r="F32" i="66"/>
  <c r="O29" i="66" s="1"/>
  <c r="D55" i="70"/>
  <c r="D101" i="20" s="1"/>
  <c r="D55" i="72"/>
  <c r="D103" i="20" s="1"/>
  <c r="D56" i="74"/>
  <c r="E105" i="20" s="1"/>
  <c r="F59" i="20"/>
  <c r="D55" i="73"/>
  <c r="D104" i="20" s="1"/>
  <c r="F42" i="60"/>
  <c r="D58" i="62"/>
  <c r="G93" i="20" s="1"/>
  <c r="D58" i="66"/>
  <c r="G97" i="20" s="1"/>
  <c r="F22" i="67"/>
  <c r="K58" i="67" s="1"/>
  <c r="D55" i="68"/>
  <c r="D99" i="20" s="1"/>
  <c r="F22" i="70"/>
  <c r="K58" i="70" s="1"/>
  <c r="F53" i="20"/>
  <c r="G41" i="20"/>
  <c r="Q44" i="20"/>
  <c r="G32" i="76"/>
  <c r="S33" i="76" s="1"/>
  <c r="F46" i="76"/>
  <c r="F42" i="61"/>
  <c r="F23" i="61"/>
  <c r="D56" i="62"/>
  <c r="E93" i="20" s="1"/>
  <c r="F33" i="62"/>
  <c r="G32" i="63"/>
  <c r="S30" i="63" s="1"/>
  <c r="D57" i="63"/>
  <c r="F94" i="20" s="1"/>
  <c r="F22" i="63"/>
  <c r="K58" i="63" s="1"/>
  <c r="F56" i="64"/>
  <c r="F23" i="64"/>
  <c r="D57" i="64"/>
  <c r="F95" i="20" s="1"/>
  <c r="F33" i="64"/>
  <c r="F23" i="65"/>
  <c r="D57" i="65"/>
  <c r="F96" i="20" s="1"/>
  <c r="F42" i="65"/>
  <c r="F58" i="65"/>
  <c r="F46" i="66"/>
  <c r="F23" i="66"/>
  <c r="G32" i="66"/>
  <c r="S36" i="66" s="1"/>
  <c r="F52" i="66"/>
  <c r="F26" i="66"/>
  <c r="D48" i="20" s="1"/>
  <c r="F33" i="66"/>
  <c r="F36" i="66"/>
  <c r="X31" i="66" s="1"/>
  <c r="F41" i="66"/>
  <c r="D57" i="66"/>
  <c r="F97" i="20" s="1"/>
  <c r="F22" i="66"/>
  <c r="F27" i="66"/>
  <c r="F42" i="66"/>
  <c r="D55" i="67"/>
  <c r="D98" i="20" s="1"/>
  <c r="F46" i="68"/>
  <c r="F44" i="68"/>
  <c r="F42" i="69"/>
  <c r="D57" i="70"/>
  <c r="F101" i="20" s="1"/>
  <c r="F42" i="70"/>
  <c r="D57" i="71"/>
  <c r="F102" i="20" s="1"/>
  <c r="F41" i="71"/>
  <c r="F42" i="71"/>
  <c r="G32" i="71"/>
  <c r="G33" i="71" s="1"/>
  <c r="D55" i="71"/>
  <c r="D102" i="20" s="1"/>
  <c r="D57" i="72"/>
  <c r="F103" i="20" s="1"/>
  <c r="F46" i="72"/>
  <c r="F42" i="72"/>
  <c r="F44" i="73"/>
  <c r="F22" i="73"/>
  <c r="K56" i="73" s="1"/>
  <c r="D57" i="73"/>
  <c r="F104" i="20" s="1"/>
  <c r="F42" i="74"/>
  <c r="G32" i="74"/>
  <c r="S34" i="74" s="1"/>
  <c r="D56" i="75"/>
  <c r="E106" i="20" s="1"/>
  <c r="D57" i="75"/>
  <c r="F106" i="20" s="1"/>
  <c r="F42" i="76"/>
  <c r="K58" i="76"/>
  <c r="F32" i="76"/>
  <c r="O36" i="76" s="1"/>
  <c r="F37" i="76"/>
  <c r="F36" i="76"/>
  <c r="X31" i="76" s="1"/>
  <c r="D57" i="76"/>
  <c r="F107" i="20" s="1"/>
  <c r="G32" i="77"/>
  <c r="S34" i="77" s="1"/>
  <c r="F58" i="77"/>
  <c r="F41" i="77"/>
  <c r="F22" i="78"/>
  <c r="K58" i="78" s="1"/>
  <c r="G32" i="78"/>
  <c r="F37" i="78"/>
  <c r="X26" i="78" s="1"/>
  <c r="F23" i="78"/>
  <c r="F33" i="78"/>
  <c r="F43" i="78"/>
  <c r="F26" i="78"/>
  <c r="F45" i="78"/>
  <c r="F27" i="78"/>
  <c r="F46" i="78"/>
  <c r="D56" i="78"/>
  <c r="E109" i="20" s="1"/>
  <c r="D58" i="78"/>
  <c r="G109" i="20" s="1"/>
  <c r="F32" i="78"/>
  <c r="F52" i="78"/>
  <c r="F37" i="77"/>
  <c r="X26" i="77" s="1"/>
  <c r="F42" i="77"/>
  <c r="D57" i="77"/>
  <c r="F108" i="20" s="1"/>
  <c r="F23" i="77"/>
  <c r="F33" i="77"/>
  <c r="F43" i="77"/>
  <c r="F26" i="77"/>
  <c r="F44" i="77"/>
  <c r="F22" i="77"/>
  <c r="F45" i="77"/>
  <c r="F46" i="77"/>
  <c r="F32" i="77"/>
  <c r="F23" i="76"/>
  <c r="F33" i="76"/>
  <c r="F43" i="76"/>
  <c r="F26" i="76"/>
  <c r="D58" i="20" s="1"/>
  <c r="F44" i="76"/>
  <c r="K55" i="76"/>
  <c r="K57" i="76"/>
  <c r="F45" i="76"/>
  <c r="F27" i="76"/>
  <c r="D56" i="76"/>
  <c r="E107" i="20" s="1"/>
  <c r="D58" i="76"/>
  <c r="G107" i="20" s="1"/>
  <c r="G32" i="75"/>
  <c r="F37" i="75"/>
  <c r="X26" i="75" s="1"/>
  <c r="F42" i="75"/>
  <c r="F43" i="75"/>
  <c r="F26" i="75"/>
  <c r="F44" i="75"/>
  <c r="K55" i="75"/>
  <c r="K57" i="75"/>
  <c r="F45" i="75"/>
  <c r="F27" i="75"/>
  <c r="F46" i="75"/>
  <c r="F32" i="75"/>
  <c r="F52" i="75"/>
  <c r="K56" i="75"/>
  <c r="F37" i="74"/>
  <c r="X26" i="74" s="1"/>
  <c r="F26" i="74"/>
  <c r="F44" i="74"/>
  <c r="K55" i="74"/>
  <c r="K57" i="74"/>
  <c r="F45" i="74"/>
  <c r="F27" i="74"/>
  <c r="F46" i="74"/>
  <c r="F43" i="74"/>
  <c r="F32" i="74"/>
  <c r="F52" i="74"/>
  <c r="K56" i="74"/>
  <c r="G32" i="73"/>
  <c r="F23" i="73"/>
  <c r="F33" i="73"/>
  <c r="F43" i="73"/>
  <c r="F45" i="73"/>
  <c r="F27" i="73"/>
  <c r="F46" i="73"/>
  <c r="D56" i="73"/>
  <c r="E104" i="20" s="1"/>
  <c r="D58" i="73"/>
  <c r="G104" i="20" s="1"/>
  <c r="F32" i="73"/>
  <c r="F52" i="73"/>
  <c r="G32" i="72"/>
  <c r="F23" i="72"/>
  <c r="F33" i="72"/>
  <c r="F43" i="72"/>
  <c r="F26" i="72"/>
  <c r="D54" i="20" s="1"/>
  <c r="F44" i="72"/>
  <c r="K55" i="72"/>
  <c r="K57" i="72"/>
  <c r="F45" i="72"/>
  <c r="F27" i="72"/>
  <c r="D56" i="72"/>
  <c r="E103" i="20" s="1"/>
  <c r="D58" i="72"/>
  <c r="G103" i="20" s="1"/>
  <c r="F32" i="72"/>
  <c r="F52" i="72"/>
  <c r="K56" i="72"/>
  <c r="F23" i="71"/>
  <c r="F33" i="71"/>
  <c r="F43" i="71"/>
  <c r="F26" i="71"/>
  <c r="F44" i="71"/>
  <c r="K55" i="71"/>
  <c r="K57" i="71"/>
  <c r="F45" i="71"/>
  <c r="F46" i="71"/>
  <c r="D56" i="71"/>
  <c r="E102" i="20" s="1"/>
  <c r="D58" i="71"/>
  <c r="G102" i="20" s="1"/>
  <c r="F32" i="71"/>
  <c r="F36" i="71"/>
  <c r="X31" i="71" s="1"/>
  <c r="F52" i="71"/>
  <c r="K56" i="71"/>
  <c r="G32" i="70"/>
  <c r="F23" i="70"/>
  <c r="F33" i="70"/>
  <c r="F43" i="70"/>
  <c r="F26" i="70"/>
  <c r="F45" i="70"/>
  <c r="F27" i="70"/>
  <c r="F46" i="70"/>
  <c r="D56" i="70"/>
  <c r="E101" i="20" s="1"/>
  <c r="D58" i="70"/>
  <c r="G101" i="20" s="1"/>
  <c r="F32" i="70"/>
  <c r="F52" i="70"/>
  <c r="G32" i="69"/>
  <c r="F43" i="69"/>
  <c r="F26" i="69"/>
  <c r="F44" i="69"/>
  <c r="K55" i="69"/>
  <c r="K57" i="69"/>
  <c r="F45" i="69"/>
  <c r="F27" i="69"/>
  <c r="F46" i="69"/>
  <c r="D56" i="69"/>
  <c r="E100" i="20" s="1"/>
  <c r="D58" i="69"/>
  <c r="G100" i="20" s="1"/>
  <c r="F37" i="69"/>
  <c r="X26" i="69" s="1"/>
  <c r="F32" i="69"/>
  <c r="F52" i="69"/>
  <c r="K56" i="69"/>
  <c r="P17" i="68"/>
  <c r="F32" i="68"/>
  <c r="F33" i="68"/>
  <c r="G32" i="68"/>
  <c r="F43" i="68"/>
  <c r="K57" i="68"/>
  <c r="F45" i="68"/>
  <c r="F27" i="68"/>
  <c r="D56" i="68"/>
  <c r="E99" i="20" s="1"/>
  <c r="D58" i="68"/>
  <c r="G99" i="20" s="1"/>
  <c r="K55" i="68"/>
  <c r="F36" i="68"/>
  <c r="X31" i="68" s="1"/>
  <c r="F52" i="68"/>
  <c r="K56" i="68"/>
  <c r="G32" i="67"/>
  <c r="F23" i="67"/>
  <c r="F33" i="67"/>
  <c r="F43" i="67"/>
  <c r="F26" i="67"/>
  <c r="F44" i="67"/>
  <c r="F45" i="67"/>
  <c r="F27" i="67"/>
  <c r="F46" i="67"/>
  <c r="D56" i="67"/>
  <c r="E98" i="20" s="1"/>
  <c r="D58" i="67"/>
  <c r="G98" i="20" s="1"/>
  <c r="F32" i="67"/>
  <c r="F52" i="67"/>
  <c r="G32" i="65"/>
  <c r="F26" i="65"/>
  <c r="F44" i="65"/>
  <c r="K55" i="65"/>
  <c r="K57" i="65"/>
  <c r="F45" i="65"/>
  <c r="F43" i="65"/>
  <c r="F27" i="65"/>
  <c r="F46" i="65"/>
  <c r="F32" i="65"/>
  <c r="F52" i="65"/>
  <c r="K56" i="65"/>
  <c r="F43" i="64"/>
  <c r="F26" i="64"/>
  <c r="F44" i="64"/>
  <c r="F45" i="64"/>
  <c r="F27" i="64"/>
  <c r="F46" i="64"/>
  <c r="D58" i="64"/>
  <c r="G95" i="20" s="1"/>
  <c r="F37" i="64"/>
  <c r="X26" i="64" s="1"/>
  <c r="F32" i="64"/>
  <c r="F33" i="63"/>
  <c r="F43" i="63"/>
  <c r="F26" i="63"/>
  <c r="F45" i="63"/>
  <c r="F27" i="63"/>
  <c r="F46" i="63"/>
  <c r="D56" i="63"/>
  <c r="E94" i="20" s="1"/>
  <c r="D58" i="63"/>
  <c r="G94" i="20" s="1"/>
  <c r="F32" i="63"/>
  <c r="F52" i="63"/>
  <c r="G32" i="62"/>
  <c r="F26" i="62"/>
  <c r="F44" i="62"/>
  <c r="K55" i="62"/>
  <c r="K57" i="62"/>
  <c r="F43" i="62"/>
  <c r="F45" i="62"/>
  <c r="F27" i="62"/>
  <c r="F46" i="62"/>
  <c r="F32" i="62"/>
  <c r="F52" i="62"/>
  <c r="K56" i="62"/>
  <c r="F26" i="61"/>
  <c r="F44" i="61"/>
  <c r="K55" i="61"/>
  <c r="K57" i="61"/>
  <c r="F43" i="61"/>
  <c r="F45" i="61"/>
  <c r="F27" i="61"/>
  <c r="F46" i="61"/>
  <c r="D56" i="61"/>
  <c r="E92" i="20" s="1"/>
  <c r="D58" i="61"/>
  <c r="G92" i="20" s="1"/>
  <c r="F32" i="61"/>
  <c r="K56" i="61"/>
  <c r="G32" i="60"/>
  <c r="G33" i="60" s="1"/>
  <c r="D57" i="60"/>
  <c r="F91" i="20" s="1"/>
  <c r="F33" i="60"/>
  <c r="F23" i="60"/>
  <c r="K55" i="60"/>
  <c r="F45" i="60"/>
  <c r="K57" i="60"/>
  <c r="F27" i="60"/>
  <c r="F46" i="60"/>
  <c r="D56" i="60"/>
  <c r="E91" i="20" s="1"/>
  <c r="D58" i="60"/>
  <c r="G91" i="20" s="1"/>
  <c r="F43" i="60"/>
  <c r="F44" i="60"/>
  <c r="F26" i="60"/>
  <c r="F36" i="60"/>
  <c r="X31" i="60" s="1"/>
  <c r="K56" i="60"/>
  <c r="BC44" i="9"/>
  <c r="BC99" i="9"/>
  <c r="AV34" i="9"/>
  <c r="AS89" i="9"/>
  <c r="G32" i="4"/>
  <c r="F33" i="4"/>
  <c r="BO84" i="9"/>
  <c r="AX54" i="9"/>
  <c r="AF34" i="9"/>
  <c r="D144" i="20"/>
  <c r="D145" i="20"/>
  <c r="E135" i="20"/>
  <c r="E142" i="20"/>
  <c r="D137" i="20"/>
  <c r="F137" i="20"/>
  <c r="G137" i="20"/>
  <c r="F136" i="20"/>
  <c r="G136" i="20"/>
  <c r="D136" i="20"/>
  <c r="F135" i="20"/>
  <c r="G135" i="20"/>
  <c r="E134" i="20"/>
  <c r="D131" i="20"/>
  <c r="D139" i="20"/>
  <c r="E137" i="20"/>
  <c r="E145" i="20"/>
  <c r="F138" i="20"/>
  <c r="G138" i="20"/>
  <c r="G143" i="20"/>
  <c r="E143" i="20"/>
  <c r="F144" i="20"/>
  <c r="G144" i="20"/>
  <c r="F145" i="20"/>
  <c r="D132" i="20"/>
  <c r="D140" i="20"/>
  <c r="E138" i="20"/>
  <c r="F131" i="20"/>
  <c r="F139" i="20"/>
  <c r="G131" i="20"/>
  <c r="G139" i="20"/>
  <c r="BC39" i="9"/>
  <c r="D133" i="20"/>
  <c r="D141" i="20"/>
  <c r="E131" i="20"/>
  <c r="E139" i="20"/>
  <c r="F132" i="20"/>
  <c r="F140" i="20"/>
  <c r="G132" i="20"/>
  <c r="G140" i="20"/>
  <c r="E144" i="20"/>
  <c r="D134" i="20"/>
  <c r="D142" i="20"/>
  <c r="E132" i="20"/>
  <c r="F133" i="20"/>
  <c r="F141" i="20"/>
  <c r="G133" i="20"/>
  <c r="G141" i="20"/>
  <c r="F143" i="20"/>
  <c r="G145" i="20"/>
  <c r="AK49" i="9"/>
  <c r="AH34" i="9"/>
  <c r="D143" i="20"/>
  <c r="E141" i="20"/>
  <c r="F134" i="20"/>
  <c r="F142" i="20"/>
  <c r="G134" i="20"/>
  <c r="T73" i="20"/>
  <c r="R74" i="20"/>
  <c r="T74" i="20" s="1"/>
  <c r="T72" i="20"/>
  <c r="V72" i="20" s="1"/>
  <c r="N75" i="20"/>
  <c r="P74" i="20"/>
  <c r="Q74" i="20" s="1"/>
  <c r="P73" i="20"/>
  <c r="Q73" i="20" s="1"/>
  <c r="R75" i="20"/>
  <c r="E20" i="20" a="1"/>
  <c r="E20" i="20" s="1"/>
  <c r="G20" i="20" s="1"/>
  <c r="Q59" i="20"/>
  <c r="Q51" i="20"/>
  <c r="Q50" i="20"/>
  <c r="Q57" i="20"/>
  <c r="Q49" i="20"/>
  <c r="Q56" i="20"/>
  <c r="Q48" i="20"/>
  <c r="Q58" i="20"/>
  <c r="Q43" i="20"/>
  <c r="Q55" i="20"/>
  <c r="Q47" i="20"/>
  <c r="Q62" i="20"/>
  <c r="Q54" i="20"/>
  <c r="Q46" i="20"/>
  <c r="Q61" i="20"/>
  <c r="Q53" i="20"/>
  <c r="Q45" i="20"/>
  <c r="Q60" i="20"/>
  <c r="Q52" i="20"/>
  <c r="BO99" i="9"/>
  <c r="AF94" i="9"/>
  <c r="BO79" i="9"/>
  <c r="AK44" i="9"/>
  <c r="AI44" i="9"/>
  <c r="AK54" i="9"/>
  <c r="AH54" i="9"/>
  <c r="AJ54" i="9"/>
  <c r="AI54" i="9"/>
  <c r="AK34" i="9"/>
  <c r="AH44" i="9"/>
  <c r="AH39" i="9"/>
  <c r="AH29" i="9"/>
  <c r="AJ34" i="9"/>
  <c r="AJ44" i="9"/>
  <c r="AF49" i="9"/>
  <c r="AK29" i="9"/>
  <c r="AK39" i="9"/>
  <c r="AK59" i="9"/>
  <c r="AH49" i="9"/>
  <c r="AJ29" i="9"/>
  <c r="AJ39" i="9"/>
  <c r="AJ49" i="9"/>
  <c r="AJ59" i="9"/>
  <c r="BO44" i="9"/>
  <c r="AH59" i="9"/>
  <c r="AI29" i="9"/>
  <c r="AI39" i="9"/>
  <c r="AI49" i="9"/>
  <c r="AI59" i="9"/>
  <c r="BO59" i="9"/>
  <c r="BA69" i="9"/>
  <c r="BE49" i="9"/>
  <c r="BC29" i="9"/>
  <c r="AF89" i="9"/>
  <c r="AF74" i="9"/>
  <c r="BO69" i="9"/>
  <c r="AF64" i="9"/>
  <c r="AF54" i="9"/>
  <c r="BO39" i="9"/>
  <c r="AF29" i="9"/>
  <c r="BB94" i="9"/>
  <c r="AT89" i="9"/>
  <c r="BE89" i="9"/>
  <c r="AU89" i="9"/>
  <c r="BC89" i="9"/>
  <c r="BB89" i="9"/>
  <c r="BD89" i="9"/>
  <c r="AX89" i="9"/>
  <c r="AY89" i="9"/>
  <c r="BC94" i="9"/>
  <c r="BN34" i="9"/>
  <c r="AZ89" i="9"/>
  <c r="AS94" i="9"/>
  <c r="BA94" i="9"/>
  <c r="BN44" i="9"/>
  <c r="BN49" i="9"/>
  <c r="AV79" i="9"/>
  <c r="BD79" i="9"/>
  <c r="AU79" i="9"/>
  <c r="BN69" i="9"/>
  <c r="AW89" i="9"/>
  <c r="AT99" i="9"/>
  <c r="BB99" i="9"/>
  <c r="BN84" i="9"/>
  <c r="BD84" i="9"/>
  <c r="AV84" i="9"/>
  <c r="BB74" i="9"/>
  <c r="BN74" i="9"/>
  <c r="BN39" i="9"/>
  <c r="BC84" i="9"/>
  <c r="BA84" i="9"/>
  <c r="BE79" i="9"/>
  <c r="AV99" i="9"/>
  <c r="AV94" i="9"/>
  <c r="BN54" i="9"/>
  <c r="BC79" i="9"/>
  <c r="AW84" i="9"/>
  <c r="BE84" i="9"/>
  <c r="AW94" i="9"/>
  <c r="BE94" i="9"/>
  <c r="AU99" i="9"/>
  <c r="AT84" i="9"/>
  <c r="BB84" i="9"/>
  <c r="BN99" i="9"/>
  <c r="AY79" i="9"/>
  <c r="BD94" i="9"/>
  <c r="BE99" i="9"/>
  <c r="AZ79" i="9"/>
  <c r="AX84" i="9"/>
  <c r="AT94" i="9"/>
  <c r="AY99" i="9"/>
  <c r="AX99" i="9"/>
  <c r="BN89" i="9"/>
  <c r="AW79" i="9"/>
  <c r="AU84" i="9"/>
  <c r="AW99" i="9"/>
  <c r="AS79" i="9"/>
  <c r="BA79" i="9"/>
  <c r="AY84" i="9"/>
  <c r="AY94" i="9"/>
  <c r="AU94" i="9"/>
  <c r="AZ99" i="9"/>
  <c r="AS84" i="9"/>
  <c r="AX79" i="9"/>
  <c r="BD99" i="9"/>
  <c r="BN29" i="9"/>
  <c r="AT79" i="9"/>
  <c r="BB79" i="9"/>
  <c r="AZ84" i="9"/>
  <c r="AV89" i="9"/>
  <c r="AZ94" i="9"/>
  <c r="AX94" i="9"/>
  <c r="AS99" i="9"/>
  <c r="BA99" i="9"/>
  <c r="BA89" i="9"/>
  <c r="BE54" i="9"/>
  <c r="BD54" i="9"/>
  <c r="AZ34" i="9"/>
  <c r="AZ59" i="9"/>
  <c r="AV54" i="9"/>
  <c r="AS34" i="9"/>
  <c r="BA34" i="9"/>
  <c r="AS59" i="9"/>
  <c r="BA59" i="9"/>
  <c r="AW54" i="9"/>
  <c r="BB34" i="9"/>
  <c r="BC34" i="9"/>
  <c r="AT59" i="9"/>
  <c r="BB59" i="9"/>
  <c r="AX59" i="9"/>
  <c r="AS29" i="9"/>
  <c r="AT34" i="9"/>
  <c r="AU59" i="9"/>
  <c r="BD34" i="9"/>
  <c r="BC74" i="9"/>
  <c r="AV44" i="9"/>
  <c r="BD44" i="9"/>
  <c r="AX49" i="9"/>
  <c r="AV29" i="9"/>
  <c r="BD29" i="9"/>
  <c r="AU29" i="9"/>
  <c r="AZ74" i="9"/>
  <c r="AW29" i="9"/>
  <c r="BE29" i="9"/>
  <c r="AW34" i="9"/>
  <c r="AX34" i="9"/>
  <c r="AU34" i="9"/>
  <c r="AT49" i="9"/>
  <c r="BB49" i="9"/>
  <c r="BC59" i="9"/>
  <c r="AY49" i="9"/>
  <c r="AY34" i="9"/>
  <c r="AZ49" i="9"/>
  <c r="AY29" i="9"/>
  <c r="AX29" i="9"/>
  <c r="AV39" i="9"/>
  <c r="BD39" i="9"/>
  <c r="AW44" i="9"/>
  <c r="BE44" i="9"/>
  <c r="AV59" i="9"/>
  <c r="BD59" i="9"/>
  <c r="AV69" i="9"/>
  <c r="BD74" i="9"/>
  <c r="AZ29" i="9"/>
  <c r="AW39" i="9"/>
  <c r="BE39" i="9"/>
  <c r="AX44" i="9"/>
  <c r="AT44" i="9"/>
  <c r="AS49" i="9"/>
  <c r="BA49" i="9"/>
  <c r="AY54" i="9"/>
  <c r="AW59" i="9"/>
  <c r="BE59" i="9"/>
  <c r="AX69" i="9"/>
  <c r="AW69" i="9"/>
  <c r="AT39" i="9"/>
  <c r="AY44" i="9"/>
  <c r="AU44" i="9"/>
  <c r="AZ54" i="9"/>
  <c r="AY69" i="9"/>
  <c r="AZ69" i="9"/>
  <c r="BA29" i="9"/>
  <c r="AT29" i="9"/>
  <c r="BB29" i="9"/>
  <c r="BE34" i="9"/>
  <c r="AY39" i="9"/>
  <c r="AU39" i="9"/>
  <c r="AZ44" i="9"/>
  <c r="BB44" i="9"/>
  <c r="AU49" i="9"/>
  <c r="BC49" i="9"/>
  <c r="AS54" i="9"/>
  <c r="BA54" i="9"/>
  <c r="AY59" i="9"/>
  <c r="BD69" i="9"/>
  <c r="AZ39" i="9"/>
  <c r="AX39" i="9"/>
  <c r="AS44" i="9"/>
  <c r="BA44" i="9"/>
  <c r="AV49" i="9"/>
  <c r="BD49" i="9"/>
  <c r="AT54" i="9"/>
  <c r="BB54" i="9"/>
  <c r="BE69" i="9"/>
  <c r="AW74" i="9"/>
  <c r="BE74" i="9"/>
  <c r="AS39" i="9"/>
  <c r="BA39" i="9"/>
  <c r="BB39" i="9"/>
  <c r="AU54" i="9"/>
  <c r="BC54" i="9"/>
  <c r="AT69" i="9"/>
  <c r="BB69" i="9"/>
  <c r="AX74" i="9"/>
  <c r="AU74" i="9"/>
  <c r="AU69" i="9"/>
  <c r="BC69" i="9"/>
  <c r="AY74" i="9"/>
  <c r="AV74" i="9"/>
  <c r="AS74" i="9"/>
  <c r="BA74" i="9"/>
  <c r="AT74" i="9"/>
  <c r="AS69" i="9"/>
  <c r="AW49" i="9"/>
  <c r="X27" i="4"/>
  <c r="AQ70" i="9" l="1"/>
  <c r="C78" i="20"/>
  <c r="AQ100" i="9"/>
  <c r="C84" i="20"/>
  <c r="AQ60" i="9"/>
  <c r="C76" i="20"/>
  <c r="AQ65" i="9"/>
  <c r="C77" i="20"/>
  <c r="AQ90" i="9"/>
  <c r="C82" i="20"/>
  <c r="AR65" i="9"/>
  <c r="F77" i="20"/>
  <c r="AQ40" i="9"/>
  <c r="C72" i="20"/>
  <c r="AR10" i="9"/>
  <c r="F66" i="20"/>
  <c r="AQ5" i="9"/>
  <c r="C65" i="20"/>
  <c r="AQ25" i="9"/>
  <c r="C69" i="20"/>
  <c r="AQ45" i="9"/>
  <c r="C73" i="20"/>
  <c r="AQ35" i="9"/>
  <c r="C71" i="20"/>
  <c r="AQ95" i="9"/>
  <c r="C83" i="20"/>
  <c r="AQ20" i="9"/>
  <c r="C68" i="20"/>
  <c r="AQ85" i="9"/>
  <c r="C81" i="20"/>
  <c r="AQ10" i="9"/>
  <c r="C66" i="20"/>
  <c r="AQ75" i="9"/>
  <c r="C79" i="20"/>
  <c r="AQ30" i="9"/>
  <c r="C70" i="20"/>
  <c r="AQ50" i="9"/>
  <c r="C74" i="20"/>
  <c r="AQ15" i="9"/>
  <c r="C67" i="20"/>
  <c r="AQ80" i="9"/>
  <c r="C80" i="20"/>
  <c r="AQ55" i="9"/>
  <c r="C75" i="20"/>
  <c r="S33" i="61"/>
  <c r="D55" i="64"/>
  <c r="D95" i="20" s="1"/>
  <c r="D55" i="75"/>
  <c r="D106" i="20" s="1"/>
  <c r="S37" i="64"/>
  <c r="D55" i="77"/>
  <c r="D108" i="20" s="1"/>
  <c r="S31" i="64"/>
  <c r="D55" i="78"/>
  <c r="D109" i="20" s="1"/>
  <c r="D55" i="66"/>
  <c r="D97" i="20" s="1"/>
  <c r="K57" i="64"/>
  <c r="S39" i="64"/>
  <c r="G33" i="64"/>
  <c r="D55" i="74"/>
  <c r="D105" i="20" s="1"/>
  <c r="S36" i="64"/>
  <c r="S38" i="61"/>
  <c r="D55" i="76"/>
  <c r="D107" i="20" s="1"/>
  <c r="D55" i="69"/>
  <c r="D100" i="20" s="1"/>
  <c r="S34" i="61"/>
  <c r="S32" i="63"/>
  <c r="S34" i="64"/>
  <c r="S30" i="64"/>
  <c r="S31" i="63"/>
  <c r="O39" i="66"/>
  <c r="O33" i="66"/>
  <c r="S34" i="63"/>
  <c r="S29" i="63"/>
  <c r="S35" i="64"/>
  <c r="S33" i="64"/>
  <c r="O32" i="66"/>
  <c r="O35" i="66"/>
  <c r="S35" i="63"/>
  <c r="S29" i="74"/>
  <c r="S35" i="76"/>
  <c r="K56" i="64"/>
  <c r="K55" i="64"/>
  <c r="O34" i="66"/>
  <c r="S36" i="77"/>
  <c r="S39" i="76"/>
  <c r="O38" i="66"/>
  <c r="G33" i="76"/>
  <c r="K55" i="63"/>
  <c r="S36" i="76"/>
  <c r="O36" i="66"/>
  <c r="S34" i="76"/>
  <c r="O37" i="66"/>
  <c r="S36" i="74"/>
  <c r="S37" i="76"/>
  <c r="O30" i="66"/>
  <c r="G33" i="77"/>
  <c r="S37" i="74"/>
  <c r="S30" i="77"/>
  <c r="S32" i="60"/>
  <c r="G33" i="63"/>
  <c r="S29" i="64"/>
  <c r="S33" i="77"/>
  <c r="S36" i="63"/>
  <c r="S38" i="64"/>
  <c r="S35" i="77"/>
  <c r="S37" i="77"/>
  <c r="S31" i="77"/>
  <c r="S31" i="60"/>
  <c r="S35" i="60"/>
  <c r="K56" i="67"/>
  <c r="K57" i="67"/>
  <c r="S39" i="60"/>
  <c r="K55" i="67"/>
  <c r="S34" i="60"/>
  <c r="S29" i="77"/>
  <c r="S33" i="60"/>
  <c r="S32" i="71"/>
  <c r="S35" i="71"/>
  <c r="S36" i="60"/>
  <c r="S39" i="63"/>
  <c r="S37" i="63"/>
  <c r="K57" i="70"/>
  <c r="S39" i="71"/>
  <c r="G33" i="74"/>
  <c r="S33" i="74"/>
  <c r="S38" i="76"/>
  <c r="S35" i="74"/>
  <c r="S29" i="60"/>
  <c r="S38" i="63"/>
  <c r="S33" i="63"/>
  <c r="S36" i="71"/>
  <c r="S38" i="74"/>
  <c r="S29" i="76"/>
  <c r="S34" i="71"/>
  <c r="S39" i="74"/>
  <c r="S31" i="76"/>
  <c r="S32" i="76"/>
  <c r="D55" i="20"/>
  <c r="S29" i="71"/>
  <c r="X26" i="66"/>
  <c r="S38" i="71"/>
  <c r="S31" i="71"/>
  <c r="S37" i="71"/>
  <c r="S31" i="74"/>
  <c r="P17" i="74"/>
  <c r="D56" i="20"/>
  <c r="Q17" i="75"/>
  <c r="F57" i="20"/>
  <c r="P17" i="63"/>
  <c r="D45" i="20"/>
  <c r="K56" i="78"/>
  <c r="K55" i="70"/>
  <c r="O39" i="76"/>
  <c r="Q17" i="66"/>
  <c r="F48" i="20"/>
  <c r="Q17" i="60"/>
  <c r="F42" i="20"/>
  <c r="S35" i="61"/>
  <c r="P17" i="67"/>
  <c r="D49" i="20"/>
  <c r="Q17" i="74"/>
  <c r="F56" i="20"/>
  <c r="O35" i="76"/>
  <c r="S32" i="77"/>
  <c r="P17" i="77"/>
  <c r="D59" i="20"/>
  <c r="P17" i="78"/>
  <c r="D60" i="20"/>
  <c r="P17" i="65"/>
  <c r="D47" i="20"/>
  <c r="O32" i="76"/>
  <c r="O30" i="76"/>
  <c r="K55" i="78"/>
  <c r="Q17" i="65"/>
  <c r="F47" i="20"/>
  <c r="P17" i="69"/>
  <c r="D51" i="20"/>
  <c r="O29" i="76"/>
  <c r="Q17" i="76"/>
  <c r="F58" i="20"/>
  <c r="P17" i="70"/>
  <c r="D52" i="20"/>
  <c r="K57" i="78"/>
  <c r="P17" i="64"/>
  <c r="D46" i="20"/>
  <c r="P17" i="71"/>
  <c r="D53" i="20"/>
  <c r="P17" i="61"/>
  <c r="D43" i="20"/>
  <c r="P17" i="62"/>
  <c r="D44" i="20"/>
  <c r="P17" i="60"/>
  <c r="D42" i="20"/>
  <c r="Q17" i="61"/>
  <c r="F43" i="20"/>
  <c r="S29" i="61"/>
  <c r="Q17" i="62"/>
  <c r="F44" i="20"/>
  <c r="Q17" i="64"/>
  <c r="F46" i="20"/>
  <c r="P17" i="75"/>
  <c r="D57" i="20"/>
  <c r="S39" i="77"/>
  <c r="S38" i="77"/>
  <c r="S31" i="61"/>
  <c r="S36" i="61"/>
  <c r="Q17" i="63"/>
  <c r="F45" i="20"/>
  <c r="S30" i="61"/>
  <c r="Q17" i="67"/>
  <c r="F49" i="20"/>
  <c r="Q17" i="70"/>
  <c r="F52" i="20"/>
  <c r="X26" i="71"/>
  <c r="X28" i="71" s="1"/>
  <c r="X29" i="71" s="1"/>
  <c r="Q17" i="72"/>
  <c r="F54" i="20"/>
  <c r="O37" i="76"/>
  <c r="S39" i="61"/>
  <c r="S30" i="60"/>
  <c r="S32" i="61"/>
  <c r="K56" i="63"/>
  <c r="S38" i="60"/>
  <c r="S37" i="60"/>
  <c r="G33" i="61"/>
  <c r="K57" i="63"/>
  <c r="Q17" i="68"/>
  <c r="F50" i="20"/>
  <c r="Q17" i="69"/>
  <c r="F51" i="20"/>
  <c r="K56" i="70"/>
  <c r="F28" i="71"/>
  <c r="E53" i="20" s="1"/>
  <c r="Q17" i="73"/>
  <c r="F55" i="20"/>
  <c r="S32" i="74"/>
  <c r="O34" i="76"/>
  <c r="S30" i="76"/>
  <c r="Q17" i="78"/>
  <c r="F60" i="20"/>
  <c r="O31" i="66"/>
  <c r="S33" i="66"/>
  <c r="G33" i="66"/>
  <c r="S31" i="66"/>
  <c r="S35" i="66"/>
  <c r="S32" i="66"/>
  <c r="S29" i="66"/>
  <c r="S39" i="66"/>
  <c r="S38" i="66"/>
  <c r="S34" i="66"/>
  <c r="S30" i="66"/>
  <c r="K57" i="66"/>
  <c r="K55" i="66"/>
  <c r="K58" i="66"/>
  <c r="K56" i="66"/>
  <c r="S37" i="66"/>
  <c r="F28" i="66"/>
  <c r="E48" i="20" s="1"/>
  <c r="P17" i="66"/>
  <c r="F28" i="68"/>
  <c r="S30" i="71"/>
  <c r="S33" i="71"/>
  <c r="F28" i="73"/>
  <c r="K58" i="73"/>
  <c r="K57" i="73"/>
  <c r="K55" i="73"/>
  <c r="F28" i="74"/>
  <c r="E56" i="20" s="1"/>
  <c r="S30" i="74"/>
  <c r="O31" i="76"/>
  <c r="O33" i="76"/>
  <c r="X26" i="76"/>
  <c r="O38" i="76"/>
  <c r="F28" i="78"/>
  <c r="E60" i="20" s="1"/>
  <c r="S33" i="78"/>
  <c r="S37" i="78"/>
  <c r="S32" i="78"/>
  <c r="S29" i="78"/>
  <c r="S36" i="78"/>
  <c r="G33" i="78"/>
  <c r="S30" i="78"/>
  <c r="S39" i="78"/>
  <c r="S35" i="78"/>
  <c r="S31" i="78"/>
  <c r="S38" i="78"/>
  <c r="S34" i="78"/>
  <c r="O36" i="78"/>
  <c r="O39" i="78"/>
  <c r="O35" i="78"/>
  <c r="O31" i="78"/>
  <c r="O38" i="78"/>
  <c r="O34" i="78"/>
  <c r="O33" i="78"/>
  <c r="O37" i="78"/>
  <c r="O30" i="78"/>
  <c r="O32" i="78"/>
  <c r="O29" i="78"/>
  <c r="X28" i="78"/>
  <c r="X29" i="78" s="1"/>
  <c r="X28" i="77"/>
  <c r="X29" i="77" s="1"/>
  <c r="K58" i="77"/>
  <c r="K56" i="77"/>
  <c r="K57" i="77"/>
  <c r="K55" i="77"/>
  <c r="O36" i="77"/>
  <c r="O39" i="77"/>
  <c r="O35" i="77"/>
  <c r="O31" i="77"/>
  <c r="O38" i="77"/>
  <c r="O34" i="77"/>
  <c r="O33" i="77"/>
  <c r="O37" i="77"/>
  <c r="O29" i="77"/>
  <c r="O30" i="77"/>
  <c r="O32" i="77"/>
  <c r="F28" i="77"/>
  <c r="E59" i="20" s="1"/>
  <c r="F28" i="76"/>
  <c r="E58" i="20" s="1"/>
  <c r="P17" i="76"/>
  <c r="O36" i="75"/>
  <c r="O39" i="75"/>
  <c r="O35" i="75"/>
  <c r="O31" i="75"/>
  <c r="O38" i="75"/>
  <c r="O34" i="75"/>
  <c r="O33" i="75"/>
  <c r="O37" i="75"/>
  <c r="O30" i="75"/>
  <c r="O29" i="75"/>
  <c r="O32" i="75"/>
  <c r="X28" i="75"/>
  <c r="X29" i="75" s="1"/>
  <c r="F28" i="75"/>
  <c r="E57" i="20" s="1"/>
  <c r="S33" i="75"/>
  <c r="S35" i="75"/>
  <c r="S37" i="75"/>
  <c r="S32" i="75"/>
  <c r="S29" i="75"/>
  <c r="S36" i="75"/>
  <c r="G33" i="75"/>
  <c r="S30" i="75"/>
  <c r="S31" i="75"/>
  <c r="S34" i="75"/>
  <c r="S39" i="75"/>
  <c r="S38" i="75"/>
  <c r="O36" i="74"/>
  <c r="O39" i="74"/>
  <c r="O35" i="74"/>
  <c r="O31" i="74"/>
  <c r="O38" i="74"/>
  <c r="O34" i="74"/>
  <c r="O30" i="74"/>
  <c r="O33" i="74"/>
  <c r="O37" i="74"/>
  <c r="O32" i="74"/>
  <c r="O29" i="74"/>
  <c r="X28" i="74"/>
  <c r="X29" i="74" s="1"/>
  <c r="O36" i="73"/>
  <c r="O37" i="73"/>
  <c r="O39" i="73"/>
  <c r="O35" i="73"/>
  <c r="O31" i="73"/>
  <c r="O38" i="73"/>
  <c r="O34" i="73"/>
  <c r="O33" i="73"/>
  <c r="O30" i="73"/>
  <c r="O32" i="73"/>
  <c r="O29" i="73"/>
  <c r="X28" i="73"/>
  <c r="X29" i="73" s="1"/>
  <c r="S33" i="73"/>
  <c r="G33" i="73"/>
  <c r="S37" i="73"/>
  <c r="S32" i="73"/>
  <c r="S29" i="73"/>
  <c r="S36" i="73"/>
  <c r="S30" i="73"/>
  <c r="S39" i="73"/>
  <c r="S35" i="73"/>
  <c r="S31" i="73"/>
  <c r="S38" i="73"/>
  <c r="S34" i="73"/>
  <c r="F28" i="72"/>
  <c r="E54" i="20" s="1"/>
  <c r="P17" i="72"/>
  <c r="O36" i="72"/>
  <c r="O39" i="72"/>
  <c r="O35" i="72"/>
  <c r="O31" i="72"/>
  <c r="O38" i="72"/>
  <c r="O34" i="72"/>
  <c r="O33" i="72"/>
  <c r="O29" i="72"/>
  <c r="O37" i="72"/>
  <c r="O30" i="72"/>
  <c r="O32" i="72"/>
  <c r="X28" i="72"/>
  <c r="X29" i="72" s="1"/>
  <c r="S33" i="72"/>
  <c r="S37" i="72"/>
  <c r="S32" i="72"/>
  <c r="S29" i="72"/>
  <c r="S36" i="72"/>
  <c r="S38" i="72"/>
  <c r="G33" i="72"/>
  <c r="S30" i="72"/>
  <c r="S34" i="72"/>
  <c r="S39" i="72"/>
  <c r="S35" i="72"/>
  <c r="S31" i="72"/>
  <c r="O36" i="71"/>
  <c r="O32" i="71"/>
  <c r="O39" i="71"/>
  <c r="O35" i="71"/>
  <c r="O31" i="71"/>
  <c r="O29" i="71"/>
  <c r="O38" i="71"/>
  <c r="O34" i="71"/>
  <c r="O33" i="71"/>
  <c r="O37" i="71"/>
  <c r="O30" i="71"/>
  <c r="X28" i="70"/>
  <c r="X29" i="70" s="1"/>
  <c r="O36" i="70"/>
  <c r="O39" i="70"/>
  <c r="O35" i="70"/>
  <c r="O31" i="70"/>
  <c r="O38" i="70"/>
  <c r="O34" i="70"/>
  <c r="O33" i="70"/>
  <c r="O37" i="70"/>
  <c r="O30" i="70"/>
  <c r="O32" i="70"/>
  <c r="O29" i="70"/>
  <c r="F28" i="70"/>
  <c r="E52" i="20" s="1"/>
  <c r="S33" i="70"/>
  <c r="S37" i="70"/>
  <c r="G33" i="70"/>
  <c r="S32" i="70"/>
  <c r="S29" i="70"/>
  <c r="S36" i="70"/>
  <c r="S30" i="70"/>
  <c r="S39" i="70"/>
  <c r="S35" i="70"/>
  <c r="S31" i="70"/>
  <c r="S38" i="70"/>
  <c r="S34" i="70"/>
  <c r="F28" i="69"/>
  <c r="E51" i="20" s="1"/>
  <c r="S33" i="69"/>
  <c r="S37" i="69"/>
  <c r="S38" i="69"/>
  <c r="S32" i="69"/>
  <c r="S29" i="69"/>
  <c r="S36" i="69"/>
  <c r="S39" i="69"/>
  <c r="S31" i="69"/>
  <c r="G33" i="69"/>
  <c r="S30" i="69"/>
  <c r="S34" i="69"/>
  <c r="S35" i="69"/>
  <c r="O36" i="69"/>
  <c r="O39" i="69"/>
  <c r="O35" i="69"/>
  <c r="O31" i="69"/>
  <c r="O32" i="69"/>
  <c r="O29" i="69"/>
  <c r="O38" i="69"/>
  <c r="O34" i="69"/>
  <c r="O33" i="69"/>
  <c r="O30" i="69"/>
  <c r="O37" i="69"/>
  <c r="X28" i="69"/>
  <c r="X26" i="68"/>
  <c r="O36" i="68"/>
  <c r="O39" i="68"/>
  <c r="O35" i="68"/>
  <c r="O31" i="68"/>
  <c r="O38" i="68"/>
  <c r="O34" i="68"/>
  <c r="O33" i="68"/>
  <c r="O37" i="68"/>
  <c r="O30" i="68"/>
  <c r="O32" i="68"/>
  <c r="O29" i="68"/>
  <c r="S33" i="68"/>
  <c r="S30" i="68"/>
  <c r="S37" i="68"/>
  <c r="G33" i="68"/>
  <c r="S32" i="68"/>
  <c r="S29" i="68"/>
  <c r="S36" i="68"/>
  <c r="S39" i="68"/>
  <c r="S35" i="68"/>
  <c r="S31" i="68"/>
  <c r="S38" i="68"/>
  <c r="S34" i="68"/>
  <c r="X28" i="67"/>
  <c r="X29" i="67" s="1"/>
  <c r="S33" i="67"/>
  <c r="S37" i="67"/>
  <c r="S38" i="67"/>
  <c r="S32" i="67"/>
  <c r="S29" i="67"/>
  <c r="S34" i="67"/>
  <c r="S36" i="67"/>
  <c r="G33" i="67"/>
  <c r="S30" i="67"/>
  <c r="S39" i="67"/>
  <c r="S35" i="67"/>
  <c r="S31" i="67"/>
  <c r="O36" i="67"/>
  <c r="O32" i="67"/>
  <c r="O29" i="67"/>
  <c r="O39" i="67"/>
  <c r="O35" i="67"/>
  <c r="O31" i="67"/>
  <c r="O38" i="67"/>
  <c r="O34" i="67"/>
  <c r="O33" i="67"/>
  <c r="O37" i="67"/>
  <c r="O30" i="67"/>
  <c r="F28" i="67"/>
  <c r="E49" i="20" s="1"/>
  <c r="O36" i="65"/>
  <c r="O29" i="65"/>
  <c r="O32" i="65"/>
  <c r="O39" i="65"/>
  <c r="O35" i="65"/>
  <c r="O31" i="65"/>
  <c r="O38" i="65"/>
  <c r="O34" i="65"/>
  <c r="O30" i="65"/>
  <c r="O33" i="65"/>
  <c r="O37" i="65"/>
  <c r="X28" i="65"/>
  <c r="X29" i="65" s="1"/>
  <c r="S33" i="65"/>
  <c r="S34" i="65"/>
  <c r="S37" i="65"/>
  <c r="S38" i="65"/>
  <c r="S32" i="65"/>
  <c r="S29" i="65"/>
  <c r="S39" i="65"/>
  <c r="S36" i="65"/>
  <c r="G33" i="65"/>
  <c r="S30" i="65"/>
  <c r="S35" i="65"/>
  <c r="S31" i="65"/>
  <c r="F28" i="65"/>
  <c r="E47" i="20" s="1"/>
  <c r="O36" i="64"/>
  <c r="O32" i="64"/>
  <c r="O29" i="64"/>
  <c r="O39" i="64"/>
  <c r="O35" i="64"/>
  <c r="O31" i="64"/>
  <c r="O38" i="64"/>
  <c r="O34" i="64"/>
  <c r="O33" i="64"/>
  <c r="O30" i="64"/>
  <c r="O37" i="64"/>
  <c r="X28" i="64"/>
  <c r="F28" i="64"/>
  <c r="E46" i="20" s="1"/>
  <c r="O36" i="63"/>
  <c r="O39" i="63"/>
  <c r="O35" i="63"/>
  <c r="O31" i="63"/>
  <c r="O38" i="63"/>
  <c r="O34" i="63"/>
  <c r="O33" i="63"/>
  <c r="O32" i="63"/>
  <c r="O29" i="63"/>
  <c r="O37" i="63"/>
  <c r="O30" i="63"/>
  <c r="F28" i="63"/>
  <c r="E45" i="20" s="1"/>
  <c r="S33" i="62"/>
  <c r="S37" i="62"/>
  <c r="S32" i="62"/>
  <c r="S29" i="62"/>
  <c r="S36" i="62"/>
  <c r="S39" i="62"/>
  <c r="S35" i="62"/>
  <c r="S31" i="62"/>
  <c r="S38" i="62"/>
  <c r="S34" i="62"/>
  <c r="G33" i="62"/>
  <c r="S30" i="62"/>
  <c r="O36" i="62"/>
  <c r="O32" i="62"/>
  <c r="O39" i="62"/>
  <c r="O35" i="62"/>
  <c r="O31" i="62"/>
  <c r="O29" i="62"/>
  <c r="O38" i="62"/>
  <c r="O34" i="62"/>
  <c r="O33" i="62"/>
  <c r="O30" i="62"/>
  <c r="O37" i="62"/>
  <c r="F28" i="62"/>
  <c r="E44" i="20" s="1"/>
  <c r="F28" i="61"/>
  <c r="E43" i="20" s="1"/>
  <c r="O36" i="61"/>
  <c r="O30" i="61"/>
  <c r="O32" i="61"/>
  <c r="O39" i="61"/>
  <c r="O35" i="61"/>
  <c r="O31" i="61"/>
  <c r="O38" i="61"/>
  <c r="O34" i="61"/>
  <c r="O33" i="61"/>
  <c r="O29" i="61"/>
  <c r="O37" i="61"/>
  <c r="F28" i="60"/>
  <c r="E42" i="20" s="1"/>
  <c r="S29" i="4"/>
  <c r="S30" i="4"/>
  <c r="S39" i="4"/>
  <c r="G33" i="4"/>
  <c r="V73" i="20"/>
  <c r="V74" i="20"/>
  <c r="N76" i="20"/>
  <c r="P75" i="20"/>
  <c r="Q75" i="20" s="1"/>
  <c r="R76" i="20"/>
  <c r="T75" i="20"/>
  <c r="C8" i="20"/>
  <c r="C9" i="20"/>
  <c r="C10" i="20"/>
  <c r="C12" i="20"/>
  <c r="C13" i="20"/>
  <c r="C14" i="20"/>
  <c r="E124" i="20"/>
  <c r="F124" i="20"/>
  <c r="G124" i="20"/>
  <c r="D124" i="20"/>
  <c r="B124" i="20"/>
  <c r="A119" i="7"/>
  <c r="AR75" i="9" l="1"/>
  <c r="F79" i="20"/>
  <c r="AR80" i="9"/>
  <c r="F80" i="20"/>
  <c r="AR25" i="9"/>
  <c r="F69" i="20"/>
  <c r="AR35" i="9"/>
  <c r="F71" i="20"/>
  <c r="AR70" i="9"/>
  <c r="F78" i="20"/>
  <c r="AR30" i="9"/>
  <c r="F70" i="20"/>
  <c r="AR40" i="9"/>
  <c r="F72" i="20"/>
  <c r="AR5" i="9"/>
  <c r="F65" i="20"/>
  <c r="AR95" i="9"/>
  <c r="F83" i="20"/>
  <c r="AR90" i="9"/>
  <c r="F82" i="20"/>
  <c r="AR100" i="9"/>
  <c r="F84" i="20"/>
  <c r="AR20" i="9"/>
  <c r="F68" i="20"/>
  <c r="AR45" i="9"/>
  <c r="F73" i="20"/>
  <c r="AR55" i="9"/>
  <c r="F75" i="20"/>
  <c r="AR60" i="9"/>
  <c r="F76" i="20"/>
  <c r="AR15" i="9"/>
  <c r="F67" i="20"/>
  <c r="AR50" i="9"/>
  <c r="F74" i="20"/>
  <c r="AR85" i="9"/>
  <c r="F81" i="20"/>
  <c r="G31" i="64"/>
  <c r="E70" i="20" s="1"/>
  <c r="R17" i="74"/>
  <c r="F31" i="66"/>
  <c r="B72" i="20" s="1"/>
  <c r="G31" i="63"/>
  <c r="E69" i="20" s="1"/>
  <c r="G31" i="71"/>
  <c r="E77" i="20" s="1"/>
  <c r="H52" i="20"/>
  <c r="G31" i="61"/>
  <c r="E67" i="20" s="1"/>
  <c r="G31" i="76"/>
  <c r="E82" i="20" s="1"/>
  <c r="G31" i="74"/>
  <c r="E80" i="20" s="1"/>
  <c r="G31" i="77"/>
  <c r="E83" i="20" s="1"/>
  <c r="X28" i="66"/>
  <c r="X29" i="66" s="1"/>
  <c r="G31" i="60"/>
  <c r="E66" i="20" s="1"/>
  <c r="F50" i="74"/>
  <c r="G31" i="66"/>
  <c r="E72" i="20" s="1"/>
  <c r="R17" i="71"/>
  <c r="R17" i="73"/>
  <c r="E55" i="20"/>
  <c r="H55" i="20" s="1"/>
  <c r="F50" i="71"/>
  <c r="G31" i="75"/>
  <c r="E81" i="20" s="1"/>
  <c r="R17" i="78"/>
  <c r="R17" i="68"/>
  <c r="E50" i="20"/>
  <c r="H50" i="20" s="1"/>
  <c r="F50" i="78"/>
  <c r="F31" i="76"/>
  <c r="F31" i="61"/>
  <c r="B67" i="20" s="1"/>
  <c r="R17" i="66"/>
  <c r="F50" i="66"/>
  <c r="F31" i="68"/>
  <c r="B74" i="20" s="1"/>
  <c r="F50" i="68"/>
  <c r="F31" i="72"/>
  <c r="F50" i="73"/>
  <c r="X28" i="76"/>
  <c r="X29" i="76" s="1"/>
  <c r="G31" i="78"/>
  <c r="E84" i="20" s="1"/>
  <c r="X36" i="78"/>
  <c r="X40" i="78"/>
  <c r="X39" i="78"/>
  <c r="X38" i="78"/>
  <c r="X33" i="78"/>
  <c r="X34" i="78" s="1"/>
  <c r="X35" i="78" s="1"/>
  <c r="X37" i="78"/>
  <c r="J37" i="78"/>
  <c r="X32" i="78"/>
  <c r="F31" i="78"/>
  <c r="F50" i="77"/>
  <c r="R17" i="77"/>
  <c r="X40" i="77"/>
  <c r="X36" i="77"/>
  <c r="X39" i="77"/>
  <c r="X38" i="77"/>
  <c r="X33" i="77"/>
  <c r="X34" i="77" s="1"/>
  <c r="X35" i="77" s="1"/>
  <c r="X37" i="77"/>
  <c r="J37" i="77"/>
  <c r="X32" i="77"/>
  <c r="F31" i="77"/>
  <c r="F50" i="76"/>
  <c r="R17" i="76"/>
  <c r="F31" i="75"/>
  <c r="F50" i="75"/>
  <c r="R17" i="75"/>
  <c r="X36" i="75"/>
  <c r="X32" i="75"/>
  <c r="X40" i="75"/>
  <c r="X39" i="75"/>
  <c r="X38" i="75"/>
  <c r="X33" i="75"/>
  <c r="X34" i="75" s="1"/>
  <c r="X35" i="75" s="1"/>
  <c r="X37" i="75"/>
  <c r="J37" i="75"/>
  <c r="F31" i="74"/>
  <c r="X36" i="74"/>
  <c r="J37" i="74"/>
  <c r="X32" i="74"/>
  <c r="X40" i="74"/>
  <c r="X39" i="74"/>
  <c r="X38" i="74"/>
  <c r="X37" i="74"/>
  <c r="G31" i="73"/>
  <c r="E79" i="20" s="1"/>
  <c r="X36" i="73"/>
  <c r="X40" i="73"/>
  <c r="X39" i="73"/>
  <c r="X38" i="73"/>
  <c r="X37" i="73"/>
  <c r="J37" i="73"/>
  <c r="X32" i="73"/>
  <c r="X33" i="73" s="1"/>
  <c r="X34" i="73" s="1"/>
  <c r="X35" i="73" s="1"/>
  <c r="F31" i="73"/>
  <c r="F50" i="72"/>
  <c r="R17" i="72"/>
  <c r="X36" i="72"/>
  <c r="X40" i="72"/>
  <c r="X39" i="72"/>
  <c r="X38" i="72"/>
  <c r="X37" i="72"/>
  <c r="X32" i="72"/>
  <c r="J37" i="72"/>
  <c r="G31" i="72"/>
  <c r="E78" i="20" s="1"/>
  <c r="F31" i="71"/>
  <c r="X36" i="71"/>
  <c r="X40" i="71"/>
  <c r="X39" i="71"/>
  <c r="X32" i="71"/>
  <c r="X38" i="71"/>
  <c r="X33" i="71"/>
  <c r="X34" i="71" s="1"/>
  <c r="X35" i="71" s="1"/>
  <c r="X37" i="71"/>
  <c r="J37" i="71"/>
  <c r="F50" i="70"/>
  <c r="R17" i="70"/>
  <c r="F31" i="70"/>
  <c r="G31" i="70"/>
  <c r="E76" i="20" s="1"/>
  <c r="X36" i="70"/>
  <c r="X40" i="70"/>
  <c r="X39" i="70"/>
  <c r="X37" i="70"/>
  <c r="X38" i="70"/>
  <c r="X33" i="70"/>
  <c r="X34" i="70" s="1"/>
  <c r="X35" i="70" s="1"/>
  <c r="J37" i="70"/>
  <c r="X32" i="70"/>
  <c r="X36" i="69"/>
  <c r="X40" i="69"/>
  <c r="X39" i="69"/>
  <c r="X38" i="69"/>
  <c r="X37" i="69"/>
  <c r="J37" i="69"/>
  <c r="G31" i="69"/>
  <c r="E75" i="20" s="1"/>
  <c r="F31" i="69"/>
  <c r="X29" i="69"/>
  <c r="X32" i="69" s="1"/>
  <c r="F50" i="69"/>
  <c r="R17" i="69"/>
  <c r="G31" i="68"/>
  <c r="E74" i="20" s="1"/>
  <c r="X28" i="68"/>
  <c r="X29" i="68" s="1"/>
  <c r="G31" i="67"/>
  <c r="E73" i="20" s="1"/>
  <c r="F50" i="67"/>
  <c r="R17" i="67"/>
  <c r="F31" i="67"/>
  <c r="B73" i="20" s="1"/>
  <c r="X36" i="67"/>
  <c r="X40" i="67"/>
  <c r="X39" i="67"/>
  <c r="X38" i="67"/>
  <c r="X32" i="67"/>
  <c r="X33" i="67"/>
  <c r="X34" i="67" s="1"/>
  <c r="X35" i="67" s="1"/>
  <c r="X37" i="67"/>
  <c r="J37" i="67"/>
  <c r="X36" i="65"/>
  <c r="X32" i="65"/>
  <c r="X40" i="65"/>
  <c r="X39" i="65"/>
  <c r="X38" i="65"/>
  <c r="X33" i="65"/>
  <c r="X34" i="65" s="1"/>
  <c r="X35" i="65" s="1"/>
  <c r="X37" i="65"/>
  <c r="J37" i="65"/>
  <c r="F31" i="65"/>
  <c r="B71" i="20" s="1"/>
  <c r="G31" i="65"/>
  <c r="E71" i="20" s="1"/>
  <c r="F50" i="65"/>
  <c r="R17" i="65"/>
  <c r="F50" i="64"/>
  <c r="R17" i="64"/>
  <c r="X36" i="64"/>
  <c r="X40" i="64"/>
  <c r="X39" i="64"/>
  <c r="X38" i="64"/>
  <c r="X37" i="64"/>
  <c r="J37" i="64"/>
  <c r="X29" i="64"/>
  <c r="X32" i="64" s="1"/>
  <c r="F31" i="64"/>
  <c r="B70" i="20" s="1"/>
  <c r="F31" i="63"/>
  <c r="B69" i="20" s="1"/>
  <c r="F50" i="63"/>
  <c r="R17" i="63"/>
  <c r="F31" i="62"/>
  <c r="B68" i="20" s="1"/>
  <c r="G31" i="62"/>
  <c r="E68" i="20" s="1"/>
  <c r="F50" i="62"/>
  <c r="R17" i="62"/>
  <c r="F50" i="61"/>
  <c r="R17" i="61"/>
  <c r="F50" i="60"/>
  <c r="R17" i="60"/>
  <c r="H48" i="20"/>
  <c r="H57" i="20"/>
  <c r="H47" i="20"/>
  <c r="H56" i="20"/>
  <c r="H54" i="20"/>
  <c r="H58" i="20"/>
  <c r="H51" i="20"/>
  <c r="H59" i="20"/>
  <c r="H60" i="20"/>
  <c r="H46" i="20"/>
  <c r="H53" i="20"/>
  <c r="H49" i="20"/>
  <c r="N77" i="20"/>
  <c r="P76" i="20"/>
  <c r="Q76" i="20" s="1"/>
  <c r="V75" i="20"/>
  <c r="R77" i="20"/>
  <c r="W11" i="9"/>
  <c r="W12" i="9"/>
  <c r="AM24" i="9" s="1"/>
  <c r="W13" i="9"/>
  <c r="W14" i="9"/>
  <c r="W15" i="9"/>
  <c r="G82" i="7"/>
  <c r="F82" i="7"/>
  <c r="E82" i="7"/>
  <c r="G80" i="7"/>
  <c r="F80" i="7"/>
  <c r="E80" i="7"/>
  <c r="BN64" i="9" s="1"/>
  <c r="B80" i="7"/>
  <c r="G78" i="7"/>
  <c r="F78" i="7"/>
  <c r="E78" i="7"/>
  <c r="B78" i="7"/>
  <c r="G76" i="7"/>
  <c r="F76" i="7"/>
  <c r="E76" i="7"/>
  <c r="B76" i="7"/>
  <c r="G73" i="7"/>
  <c r="G74" i="7"/>
  <c r="F74" i="7"/>
  <c r="E74" i="7"/>
  <c r="AO4" i="9"/>
  <c r="W44" i="9"/>
  <c r="V44" i="9"/>
  <c r="BP24" i="9"/>
  <c r="BP19" i="9"/>
  <c r="BP14" i="9"/>
  <c r="BP9" i="9"/>
  <c r="BP4" i="9"/>
  <c r="H113" i="7"/>
  <c r="H114" i="7"/>
  <c r="H115" i="7"/>
  <c r="F73" i="7"/>
  <c r="E73" i="7"/>
  <c r="B74" i="7"/>
  <c r="B73" i="7"/>
  <c r="B69" i="7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D23" i="9"/>
  <c r="AD18" i="9"/>
  <c r="AD13" i="9"/>
  <c r="AD8" i="9"/>
  <c r="AD3" i="9"/>
  <c r="AK23" i="9"/>
  <c r="AJ23" i="9"/>
  <c r="AI23" i="9"/>
  <c r="AH23" i="9"/>
  <c r="AK18" i="9"/>
  <c r="AJ18" i="9"/>
  <c r="AI18" i="9"/>
  <c r="AH18" i="9"/>
  <c r="AK13" i="9"/>
  <c r="AJ13" i="9"/>
  <c r="AI13" i="9"/>
  <c r="AH13" i="9"/>
  <c r="AK8" i="9"/>
  <c r="AJ8" i="9"/>
  <c r="AI8" i="9"/>
  <c r="AH8" i="9"/>
  <c r="AI3" i="9"/>
  <c r="AJ3" i="9"/>
  <c r="AK3" i="9"/>
  <c r="AH3" i="9"/>
  <c r="AP24" i="9"/>
  <c r="AO19" i="9"/>
  <c r="AG25" i="9"/>
  <c r="AG24" i="9" s="1"/>
  <c r="AH25" i="9"/>
  <c r="AI25" i="9"/>
  <c r="AJ25" i="9"/>
  <c r="AK25" i="9"/>
  <c r="AL25" i="9"/>
  <c r="AL24" i="9" s="1"/>
  <c r="AG20" i="9"/>
  <c r="AG19" i="9" s="1"/>
  <c r="AH20" i="9"/>
  <c r="AI20" i="9"/>
  <c r="AJ20" i="9"/>
  <c r="AK20" i="9"/>
  <c r="AL20" i="9"/>
  <c r="AG15" i="9"/>
  <c r="AG14" i="9" s="1"/>
  <c r="AH15" i="9"/>
  <c r="AI15" i="9"/>
  <c r="AJ15" i="9"/>
  <c r="AK15" i="9"/>
  <c r="AL15" i="9"/>
  <c r="AG10" i="9"/>
  <c r="AG9" i="9" s="1"/>
  <c r="AH10" i="9"/>
  <c r="AI10" i="9"/>
  <c r="AJ10" i="9"/>
  <c r="AK10" i="9"/>
  <c r="AL10" i="9"/>
  <c r="AF25" i="9"/>
  <c r="AF24" i="9" s="1"/>
  <c r="AF20" i="9"/>
  <c r="AF19" i="9" s="1"/>
  <c r="AF15" i="9"/>
  <c r="AF14" i="9" s="1"/>
  <c r="AF10" i="9"/>
  <c r="AF9" i="9" s="1"/>
  <c r="AL5" i="9"/>
  <c r="AL4" i="9" s="1"/>
  <c r="AG5" i="9"/>
  <c r="AG4" i="9" s="1"/>
  <c r="AH5" i="9"/>
  <c r="AI5" i="9"/>
  <c r="AJ5" i="9"/>
  <c r="AK5" i="9"/>
  <c r="AN24" i="9"/>
  <c r="AP22" i="9"/>
  <c r="AO22" i="9"/>
  <c r="AN22" i="9"/>
  <c r="AM22" i="9"/>
  <c r="AL22" i="9"/>
  <c r="AG22" i="9"/>
  <c r="AF22" i="9"/>
  <c r="AP17" i="9"/>
  <c r="AO17" i="9"/>
  <c r="AN17" i="9"/>
  <c r="AM17" i="9"/>
  <c r="AL17" i="9"/>
  <c r="AG17" i="9"/>
  <c r="AF17" i="9"/>
  <c r="AP12" i="9"/>
  <c r="AO12" i="9"/>
  <c r="AN12" i="9"/>
  <c r="AM12" i="9"/>
  <c r="AL12" i="9"/>
  <c r="AG12" i="9"/>
  <c r="AF12" i="9"/>
  <c r="AP7" i="9"/>
  <c r="AO7" i="9"/>
  <c r="AN7" i="9"/>
  <c r="AM7" i="9"/>
  <c r="AL7" i="9"/>
  <c r="AG7" i="9"/>
  <c r="AF7" i="9"/>
  <c r="AP2" i="9"/>
  <c r="G123" i="20" s="1"/>
  <c r="AO2" i="9"/>
  <c r="F123" i="20" s="1"/>
  <c r="AN2" i="9"/>
  <c r="E123" i="20" s="1"/>
  <c r="AM2" i="9"/>
  <c r="D123" i="20" s="1"/>
  <c r="AL2" i="9"/>
  <c r="B123" i="20" s="1"/>
  <c r="AG2" i="9"/>
  <c r="AF2" i="9"/>
  <c r="A15" i="7"/>
  <c r="A113" i="20"/>
  <c r="A112" i="20"/>
  <c r="H66" i="20"/>
  <c r="H67" i="20"/>
  <c r="H68" i="20"/>
  <c r="H69" i="20"/>
  <c r="H70" i="20"/>
  <c r="H71" i="20"/>
  <c r="H72" i="20"/>
  <c r="H65" i="20"/>
  <c r="M15" i="4"/>
  <c r="A14" i="20"/>
  <c r="A13" i="20"/>
  <c r="A12" i="20"/>
  <c r="A10" i="20"/>
  <c r="A9" i="20"/>
  <c r="A8" i="20"/>
  <c r="F7" i="20"/>
  <c r="F6" i="20"/>
  <c r="A6" i="20"/>
  <c r="I5" i="20"/>
  <c r="F5" i="20"/>
  <c r="A5" i="20"/>
  <c r="I4" i="20"/>
  <c r="F4" i="20"/>
  <c r="A4" i="20"/>
  <c r="A3" i="20"/>
  <c r="AQ83" i="9" l="1"/>
  <c r="AQ84" i="9" s="1"/>
  <c r="B81" i="20"/>
  <c r="AQ88" i="9"/>
  <c r="AQ89" i="9" s="1"/>
  <c r="B82" i="20"/>
  <c r="AQ63" i="9"/>
  <c r="AQ64" i="9" s="1"/>
  <c r="B77" i="20"/>
  <c r="AQ68" i="9"/>
  <c r="AQ69" i="9" s="1"/>
  <c r="B78" i="20"/>
  <c r="AQ93" i="9"/>
  <c r="AQ94" i="9" s="1"/>
  <c r="B83" i="20"/>
  <c r="AQ73" i="9"/>
  <c r="AQ74" i="9" s="1"/>
  <c r="B79" i="20"/>
  <c r="AQ78" i="9"/>
  <c r="AQ79" i="9" s="1"/>
  <c r="B80" i="20"/>
  <c r="AQ53" i="9"/>
  <c r="AQ54" i="9" s="1"/>
  <c r="B75" i="20"/>
  <c r="AQ98" i="9"/>
  <c r="AQ99" i="9" s="1"/>
  <c r="B84" i="20"/>
  <c r="AQ58" i="9"/>
  <c r="AQ59" i="9" s="1"/>
  <c r="B76" i="20"/>
  <c r="X33" i="66"/>
  <c r="X34" i="66" s="1"/>
  <c r="X35" i="66" s="1"/>
  <c r="AR13" i="9"/>
  <c r="AR14" i="9" s="1"/>
  <c r="AQ13" i="9"/>
  <c r="AQ14" i="9" s="1"/>
  <c r="AR18" i="9"/>
  <c r="AR19" i="9" s="1"/>
  <c r="AQ18" i="9"/>
  <c r="AQ19" i="9" s="1"/>
  <c r="AR23" i="9"/>
  <c r="AR24" i="9" s="1"/>
  <c r="AQ23" i="9"/>
  <c r="AQ24" i="9" s="1"/>
  <c r="AR43" i="9"/>
  <c r="AR44" i="9" s="1"/>
  <c r="AQ43" i="9"/>
  <c r="AQ44" i="9" s="1"/>
  <c r="AR28" i="9"/>
  <c r="AR29" i="9" s="1"/>
  <c r="AQ28" i="9"/>
  <c r="AQ29" i="9" s="1"/>
  <c r="AR33" i="9"/>
  <c r="AR34" i="9" s="1"/>
  <c r="AQ33" i="9"/>
  <c r="AQ34" i="9" s="1"/>
  <c r="AR48" i="9"/>
  <c r="AR49" i="9" s="1"/>
  <c r="AQ48" i="9"/>
  <c r="AQ49" i="9" s="1"/>
  <c r="AR38" i="9"/>
  <c r="AR39" i="9" s="1"/>
  <c r="AQ38" i="9"/>
  <c r="AQ39" i="9" s="1"/>
  <c r="X40" i="66"/>
  <c r="X39" i="66"/>
  <c r="J37" i="66"/>
  <c r="X32" i="66"/>
  <c r="X38" i="66"/>
  <c r="X36" i="66"/>
  <c r="X37" i="66"/>
  <c r="X37" i="76"/>
  <c r="J37" i="76"/>
  <c r="X36" i="76"/>
  <c r="X39" i="76"/>
  <c r="X38" i="76"/>
  <c r="X40" i="76"/>
  <c r="X32" i="76"/>
  <c r="F38" i="78"/>
  <c r="F38" i="77"/>
  <c r="F38" i="75"/>
  <c r="X33" i="74"/>
  <c r="X34" i="74" s="1"/>
  <c r="X35" i="74" s="1"/>
  <c r="F38" i="73"/>
  <c r="X33" i="72"/>
  <c r="X34" i="72" s="1"/>
  <c r="X35" i="72" s="1"/>
  <c r="F38" i="71"/>
  <c r="F38" i="70"/>
  <c r="X33" i="69"/>
  <c r="X34" i="69" s="1"/>
  <c r="X35" i="69" s="1"/>
  <c r="X36" i="68"/>
  <c r="X40" i="68"/>
  <c r="X39" i="68"/>
  <c r="X37" i="68"/>
  <c r="X38" i="68"/>
  <c r="X33" i="68"/>
  <c r="X34" i="68" s="1"/>
  <c r="X35" i="68" s="1"/>
  <c r="J37" i="68"/>
  <c r="X32" i="68"/>
  <c r="F38" i="67"/>
  <c r="F38" i="65"/>
  <c r="X33" i="64"/>
  <c r="X34" i="64" s="1"/>
  <c r="X35" i="64" s="1"/>
  <c r="AM14" i="9"/>
  <c r="AL19" i="9"/>
  <c r="B129" i="20" s="1"/>
  <c r="AM9" i="9"/>
  <c r="AM19" i="9"/>
  <c r="AL14" i="9"/>
  <c r="B128" i="20" s="1"/>
  <c r="AL44" i="9"/>
  <c r="B134" i="20" s="1"/>
  <c r="AL39" i="9"/>
  <c r="B133" i="20" s="1"/>
  <c r="AL84" i="9"/>
  <c r="B142" i="20" s="1"/>
  <c r="AL74" i="9"/>
  <c r="B140" i="20" s="1"/>
  <c r="AL34" i="9"/>
  <c r="B132" i="20" s="1"/>
  <c r="AL64" i="9"/>
  <c r="B138" i="20" s="1"/>
  <c r="AL49" i="9"/>
  <c r="B135" i="20" s="1"/>
  <c r="AL99" i="9"/>
  <c r="B145" i="20" s="1"/>
  <c r="AL94" i="9"/>
  <c r="B144" i="20" s="1"/>
  <c r="AL29" i="9"/>
  <c r="B131" i="20" s="1"/>
  <c r="AL79" i="9"/>
  <c r="B141" i="20" s="1"/>
  <c r="AL59" i="9"/>
  <c r="B137" i="20" s="1"/>
  <c r="AL69" i="9"/>
  <c r="B139" i="20" s="1"/>
  <c r="AL54" i="9"/>
  <c r="B136" i="20" s="1"/>
  <c r="AL9" i="9"/>
  <c r="B127" i="20" s="1"/>
  <c r="BQ94" i="9"/>
  <c r="BQ79" i="9"/>
  <c r="BQ99" i="9"/>
  <c r="BQ39" i="9"/>
  <c r="BQ34" i="9"/>
  <c r="BQ29" i="9"/>
  <c r="BQ49" i="9"/>
  <c r="BQ59" i="9"/>
  <c r="BQ54" i="9"/>
  <c r="BQ69" i="9"/>
  <c r="BQ89" i="9"/>
  <c r="BQ74" i="9"/>
  <c r="BQ84" i="9"/>
  <c r="BQ44" i="9"/>
  <c r="BQ64" i="9"/>
  <c r="BN4" i="9"/>
  <c r="G126" i="20"/>
  <c r="F126" i="20"/>
  <c r="D126" i="20"/>
  <c r="E126" i="20"/>
  <c r="B126" i="20"/>
  <c r="AI9" i="9"/>
  <c r="BN9" i="9"/>
  <c r="BR9" i="9" s="1"/>
  <c r="D127" i="20"/>
  <c r="F127" i="20"/>
  <c r="E127" i="20"/>
  <c r="G127" i="20"/>
  <c r="AJ9" i="9"/>
  <c r="BN14" i="9"/>
  <c r="BR14" i="9" s="1"/>
  <c r="G128" i="20"/>
  <c r="D128" i="20"/>
  <c r="F128" i="20"/>
  <c r="E128" i="20"/>
  <c r="AK19" i="9"/>
  <c r="BN19" i="9"/>
  <c r="BR19" i="9" s="1"/>
  <c r="G129" i="20"/>
  <c r="F129" i="20"/>
  <c r="D129" i="20"/>
  <c r="E129" i="20"/>
  <c r="BN24" i="9"/>
  <c r="BR24" i="9" s="1"/>
  <c r="B130" i="20"/>
  <c r="E130" i="20"/>
  <c r="D130" i="20"/>
  <c r="G130" i="20"/>
  <c r="F130" i="20"/>
  <c r="T76" i="20"/>
  <c r="V76" i="20" s="1"/>
  <c r="P77" i="20"/>
  <c r="Q77" i="20" s="1"/>
  <c r="N78" i="20"/>
  <c r="R78" i="20"/>
  <c r="AH24" i="9"/>
  <c r="AI19" i="9"/>
  <c r="AJ19" i="9"/>
  <c r="AH9" i="9"/>
  <c r="AH19" i="9"/>
  <c r="AH14" i="9"/>
  <c r="AK4" i="9"/>
  <c r="AI14" i="9"/>
  <c r="AI24" i="9"/>
  <c r="AK9" i="9"/>
  <c r="AJ4" i="9"/>
  <c r="AJ14" i="9"/>
  <c r="AJ24" i="9"/>
  <c r="AK14" i="9"/>
  <c r="AK24" i="9"/>
  <c r="AN79" i="9"/>
  <c r="AN94" i="9"/>
  <c r="AN59" i="9"/>
  <c r="AN44" i="9"/>
  <c r="AN54" i="9"/>
  <c r="AN39" i="9"/>
  <c r="AN69" i="9"/>
  <c r="AN99" i="9"/>
  <c r="AN29" i="9"/>
  <c r="AN74" i="9"/>
  <c r="AN64" i="9"/>
  <c r="AN89" i="9"/>
  <c r="AN84" i="9"/>
  <c r="AN34" i="9"/>
  <c r="AN49" i="9"/>
  <c r="AN9" i="9"/>
  <c r="AN14" i="9"/>
  <c r="BR49" i="9"/>
  <c r="BR79" i="9"/>
  <c r="BR59" i="9"/>
  <c r="BR29" i="9"/>
  <c r="BR44" i="9"/>
  <c r="BR39" i="9"/>
  <c r="BR74" i="9"/>
  <c r="BR84" i="9"/>
  <c r="BR34" i="9"/>
  <c r="BR69" i="9"/>
  <c r="BR54" i="9"/>
  <c r="AP54" i="9"/>
  <c r="AP99" i="9"/>
  <c r="AP39" i="9"/>
  <c r="AP94" i="9"/>
  <c r="AP74" i="9"/>
  <c r="AP64" i="9"/>
  <c r="AP49" i="9"/>
  <c r="AP59" i="9"/>
  <c r="AP89" i="9"/>
  <c r="AP84" i="9"/>
  <c r="AP34" i="9"/>
  <c r="AP69" i="9"/>
  <c r="AP44" i="9"/>
  <c r="AP29" i="9"/>
  <c r="AP79" i="9"/>
  <c r="AN19" i="9"/>
  <c r="AP4" i="9"/>
  <c r="AO94" i="9"/>
  <c r="AO59" i="9"/>
  <c r="AO54" i="9"/>
  <c r="AO64" i="9"/>
  <c r="AO79" i="9"/>
  <c r="AO99" i="9"/>
  <c r="AO39" i="9"/>
  <c r="AO74" i="9"/>
  <c r="AO34" i="9"/>
  <c r="AO89" i="9"/>
  <c r="AO84" i="9"/>
  <c r="AO44" i="9"/>
  <c r="AO69" i="9"/>
  <c r="AO49" i="9"/>
  <c r="AO29" i="9"/>
  <c r="AN4" i="9"/>
  <c r="AM79" i="9"/>
  <c r="AM44" i="9"/>
  <c r="AM34" i="9"/>
  <c r="AM49" i="9"/>
  <c r="AM94" i="9"/>
  <c r="AM59" i="9"/>
  <c r="AM54" i="9"/>
  <c r="AM39" i="9"/>
  <c r="AM69" i="9"/>
  <c r="AM99" i="9"/>
  <c r="AM74" i="9"/>
  <c r="AM64" i="9"/>
  <c r="AM89" i="9"/>
  <c r="AM84" i="9"/>
  <c r="AM29" i="9"/>
  <c r="AM4" i="9"/>
  <c r="AL89" i="9"/>
  <c r="B143" i="20" s="1"/>
  <c r="BO4" i="9"/>
  <c r="BO14" i="9"/>
  <c r="BO19" i="9"/>
  <c r="BO24" i="9"/>
  <c r="BO9" i="9"/>
  <c r="AV64" i="9"/>
  <c r="AW64" i="9"/>
  <c r="BB64" i="9"/>
  <c r="AT64" i="9"/>
  <c r="BD64" i="9"/>
  <c r="BE64" i="9"/>
  <c r="BC64" i="9"/>
  <c r="AX64" i="9"/>
  <c r="AZ64" i="9"/>
  <c r="AS64" i="9"/>
  <c r="AY64" i="9"/>
  <c r="BA64" i="9"/>
  <c r="AU64" i="9"/>
  <c r="AV19" i="9"/>
  <c r="AX4" i="9"/>
  <c r="BE4" i="9"/>
  <c r="AH4" i="9"/>
  <c r="AW4" i="9"/>
  <c r="AI4" i="9"/>
  <c r="BD4" i="9"/>
  <c r="AV4" i="9"/>
  <c r="BC4" i="9"/>
  <c r="AU4" i="9"/>
  <c r="BB4" i="9"/>
  <c r="AT4" i="9"/>
  <c r="BA4" i="9"/>
  <c r="AS4" i="9"/>
  <c r="AZ4" i="9"/>
  <c r="AY4" i="9"/>
  <c r="AW14" i="9"/>
  <c r="AV14" i="9"/>
  <c r="BD14" i="9"/>
  <c r="AZ24" i="9"/>
  <c r="BE19" i="9"/>
  <c r="AX9" i="9"/>
  <c r="AY14" i="9"/>
  <c r="AU24" i="9"/>
  <c r="AS14" i="9"/>
  <c r="BA14" i="9"/>
  <c r="AS19" i="9"/>
  <c r="BA19" i="9"/>
  <c r="AY19" i="9"/>
  <c r="AW24" i="9"/>
  <c r="BE24" i="9"/>
  <c r="AY9" i="9"/>
  <c r="AW19" i="9"/>
  <c r="BC24" i="9"/>
  <c r="AZ9" i="9"/>
  <c r="AV24" i="9"/>
  <c r="AS9" i="9"/>
  <c r="BA9" i="9"/>
  <c r="AT14" i="9"/>
  <c r="BB14" i="9"/>
  <c r="AT19" i="9"/>
  <c r="BB19" i="9"/>
  <c r="AZ19" i="9"/>
  <c r="AX24" i="9"/>
  <c r="AT24" i="9"/>
  <c r="AU9" i="9"/>
  <c r="BC9" i="9"/>
  <c r="AZ14" i="9"/>
  <c r="BE14" i="9"/>
  <c r="AX19" i="9"/>
  <c r="BD24" i="9"/>
  <c r="AT9" i="9"/>
  <c r="BB9" i="9"/>
  <c r="AU14" i="9"/>
  <c r="BC14" i="9"/>
  <c r="AU19" i="9"/>
  <c r="BC19" i="9"/>
  <c r="BD19" i="9"/>
  <c r="AY24" i="9"/>
  <c r="AV9" i="9"/>
  <c r="BD9" i="9"/>
  <c r="AS24" i="9"/>
  <c r="BA24" i="9"/>
  <c r="BB24" i="9"/>
  <c r="AW9" i="9"/>
  <c r="BE9" i="9"/>
  <c r="AX14" i="9"/>
  <c r="AO14" i="9"/>
  <c r="AO24" i="9"/>
  <c r="AO9" i="9"/>
  <c r="AP19" i="9"/>
  <c r="AP9" i="9"/>
  <c r="AP14" i="9"/>
  <c r="B25" i="7"/>
  <c r="G6" i="4"/>
  <c r="O35" i="7"/>
  <c r="I35" i="7"/>
  <c r="O33" i="7"/>
  <c r="I33" i="7"/>
  <c r="O31" i="7"/>
  <c r="I31" i="7"/>
  <c r="O29" i="7"/>
  <c r="I29" i="7"/>
  <c r="O26" i="7"/>
  <c r="K25" i="7"/>
  <c r="H25" i="7"/>
  <c r="G25" i="7"/>
  <c r="F25" i="7"/>
  <c r="E25" i="7"/>
  <c r="C25" i="7"/>
  <c r="A25" i="7"/>
  <c r="P31" i="4"/>
  <c r="T31" i="4" s="1"/>
  <c r="P32" i="4"/>
  <c r="T32" i="4" s="1"/>
  <c r="P33" i="4"/>
  <c r="T33" i="4" s="1"/>
  <c r="P34" i="4"/>
  <c r="T34" i="4" s="1"/>
  <c r="P35" i="4"/>
  <c r="T35" i="4" s="1"/>
  <c r="P36" i="4"/>
  <c r="T36" i="4" s="1"/>
  <c r="P37" i="4"/>
  <c r="T37" i="4" s="1"/>
  <c r="P38" i="4"/>
  <c r="T38" i="4" s="1"/>
  <c r="R31" i="4"/>
  <c r="V31" i="4" s="1"/>
  <c r="R32" i="4"/>
  <c r="V32" i="4" s="1"/>
  <c r="R33" i="4"/>
  <c r="V33" i="4" s="1"/>
  <c r="R34" i="4"/>
  <c r="V34" i="4" s="1"/>
  <c r="R35" i="4"/>
  <c r="V35" i="4" s="1"/>
  <c r="R36" i="4"/>
  <c r="V36" i="4" s="1"/>
  <c r="R37" i="4"/>
  <c r="V37" i="4" s="1"/>
  <c r="R38" i="4"/>
  <c r="V38" i="4" s="1"/>
  <c r="Q32" i="4"/>
  <c r="U32" i="4" s="1"/>
  <c r="Q33" i="4"/>
  <c r="Q34" i="4"/>
  <c r="Q35" i="4"/>
  <c r="Q36" i="4"/>
  <c r="Q37" i="4"/>
  <c r="Q38" i="4"/>
  <c r="Q31" i="4"/>
  <c r="U31" i="4" s="1"/>
  <c r="BV44" i="9" l="1"/>
  <c r="BF44" i="9" s="1"/>
  <c r="H17" i="61"/>
  <c r="F37" i="61" s="1"/>
  <c r="X26" i="61" s="1"/>
  <c r="X28" i="61" s="1"/>
  <c r="BQ19" i="9"/>
  <c r="BV19" i="9" s="1"/>
  <c r="BF19" i="9" s="1"/>
  <c r="H17" i="62"/>
  <c r="F37" i="62" s="1"/>
  <c r="X26" i="62" s="1"/>
  <c r="H17" i="63"/>
  <c r="F37" i="63" s="1"/>
  <c r="X26" i="63" s="1"/>
  <c r="X28" i="63" s="1"/>
  <c r="BQ9" i="9"/>
  <c r="BV9" i="9" s="1"/>
  <c r="BF9" i="9" s="1"/>
  <c r="F38" i="66"/>
  <c r="H17" i="60"/>
  <c r="F38" i="69"/>
  <c r="BQ4" i="9"/>
  <c r="F38" i="74"/>
  <c r="X33" i="76"/>
  <c r="X34" i="76" s="1"/>
  <c r="X35" i="76" s="1"/>
  <c r="F38" i="72"/>
  <c r="F38" i="68"/>
  <c r="F38" i="64"/>
  <c r="BV49" i="9"/>
  <c r="BF49" i="9" s="1"/>
  <c r="BV74" i="9"/>
  <c r="BF74" i="9" s="1"/>
  <c r="BV39" i="9"/>
  <c r="BF39" i="9" s="1"/>
  <c r="S31" i="4"/>
  <c r="U33" i="4"/>
  <c r="S33" i="4" s="1"/>
  <c r="U38" i="4"/>
  <c r="S38" i="4" s="1"/>
  <c r="U37" i="4"/>
  <c r="S37" i="4" s="1"/>
  <c r="U36" i="4"/>
  <c r="S36" i="4" s="1"/>
  <c r="U35" i="4"/>
  <c r="S35" i="4" s="1"/>
  <c r="S32" i="4"/>
  <c r="U34" i="4"/>
  <c r="S34" i="4" s="1"/>
  <c r="BQ24" i="9"/>
  <c r="BV24" i="9" s="1"/>
  <c r="BF24" i="9" s="1"/>
  <c r="B146" i="20"/>
  <c r="BQ14" i="9"/>
  <c r="BV14" i="9" s="1"/>
  <c r="BF14" i="9" s="1"/>
  <c r="E146" i="20"/>
  <c r="D146" i="20"/>
  <c r="F146" i="20"/>
  <c r="G146" i="20"/>
  <c r="T77" i="20"/>
  <c r="V77" i="20" s="1"/>
  <c r="P78" i="20"/>
  <c r="Q78" i="20" s="1"/>
  <c r="N79" i="20"/>
  <c r="T78" i="20"/>
  <c r="R79" i="20"/>
  <c r="BV79" i="9"/>
  <c r="BF79" i="9" s="1"/>
  <c r="BV84" i="9"/>
  <c r="BF84" i="9" s="1"/>
  <c r="BV29" i="9"/>
  <c r="BF29" i="9" s="1"/>
  <c r="BV54" i="9"/>
  <c r="BF54" i="9" s="1"/>
  <c r="BV34" i="9"/>
  <c r="BF34" i="9" s="1"/>
  <c r="BV69" i="9"/>
  <c r="BF69" i="9" s="1"/>
  <c r="I27" i="7"/>
  <c r="H17" i="4" s="1"/>
  <c r="F32" i="4" s="1"/>
  <c r="K5" i="4"/>
  <c r="K4" i="4"/>
  <c r="D13" i="4"/>
  <c r="D14" i="4"/>
  <c r="D12" i="4"/>
  <c r="D9" i="4"/>
  <c r="D10" i="4"/>
  <c r="D8" i="4"/>
  <c r="F37" i="60" l="1"/>
  <c r="X26" i="60" s="1"/>
  <c r="X28" i="60" s="1"/>
  <c r="X37" i="60" s="1"/>
  <c r="F32" i="60"/>
  <c r="G31" i="4"/>
  <c r="E65" i="20" s="1"/>
  <c r="F55" i="63"/>
  <c r="D55" i="63"/>
  <c r="D94" i="20" s="1"/>
  <c r="X29" i="63"/>
  <c r="X37" i="63"/>
  <c r="J37" i="63"/>
  <c r="X33" i="63"/>
  <c r="X34" i="63" s="1"/>
  <c r="X35" i="63" s="1"/>
  <c r="X36" i="63"/>
  <c r="X38" i="63"/>
  <c r="X40" i="63"/>
  <c r="X39" i="63"/>
  <c r="X32" i="63"/>
  <c r="X28" i="62"/>
  <c r="X29" i="62" s="1"/>
  <c r="X32" i="62" s="1"/>
  <c r="F55" i="61"/>
  <c r="D55" i="61"/>
  <c r="D92" i="20" s="1"/>
  <c r="F55" i="62"/>
  <c r="D55" i="62"/>
  <c r="D93" i="20" s="1"/>
  <c r="X29" i="61"/>
  <c r="X37" i="61"/>
  <c r="X36" i="61"/>
  <c r="X40" i="61"/>
  <c r="X39" i="61"/>
  <c r="X33" i="61"/>
  <c r="X34" i="61" s="1"/>
  <c r="X35" i="61" s="1"/>
  <c r="X38" i="61"/>
  <c r="X32" i="61"/>
  <c r="J37" i="61"/>
  <c r="O30" i="4"/>
  <c r="O39" i="4"/>
  <c r="O29" i="4"/>
  <c r="O36" i="4"/>
  <c r="O31" i="4"/>
  <c r="O35" i="4"/>
  <c r="O34" i="4"/>
  <c r="O37" i="4"/>
  <c r="O32" i="4"/>
  <c r="O38" i="4"/>
  <c r="O33" i="4"/>
  <c r="F55" i="60"/>
  <c r="D55" i="60"/>
  <c r="D91" i="20" s="1"/>
  <c r="F38" i="76"/>
  <c r="V78" i="20"/>
  <c r="P79" i="20"/>
  <c r="Q79" i="20" s="1"/>
  <c r="N80" i="20"/>
  <c r="R80" i="20"/>
  <c r="I93" i="20"/>
  <c r="I91" i="20"/>
  <c r="I94" i="20"/>
  <c r="I92" i="20"/>
  <c r="AE29" i="9"/>
  <c r="F27" i="4"/>
  <c r="F41" i="20" s="1"/>
  <c r="F43" i="4"/>
  <c r="F42" i="4"/>
  <c r="F44" i="4"/>
  <c r="F46" i="4"/>
  <c r="F26" i="4"/>
  <c r="D41" i="20" s="1"/>
  <c r="F45" i="4"/>
  <c r="F36" i="4"/>
  <c r="X31" i="4" s="1"/>
  <c r="G4" i="4"/>
  <c r="G5" i="4"/>
  <c r="G7" i="4"/>
  <c r="A13" i="4"/>
  <c r="A12" i="4"/>
  <c r="A14" i="4"/>
  <c r="A10" i="4"/>
  <c r="A9" i="4"/>
  <c r="A8" i="4"/>
  <c r="A6" i="4"/>
  <c r="A5" i="4"/>
  <c r="A4" i="4"/>
  <c r="A3" i="4"/>
  <c r="M16" i="4"/>
  <c r="I16" i="4"/>
  <c r="G16" i="4"/>
  <c r="F16" i="4"/>
  <c r="E16" i="4"/>
  <c r="D16" i="4"/>
  <c r="B16" i="4"/>
  <c r="O25" i="7"/>
  <c r="H12" i="7"/>
  <c r="H5" i="7"/>
  <c r="H4" i="7"/>
  <c r="H3" i="7"/>
  <c r="A14" i="7"/>
  <c r="A13" i="7"/>
  <c r="A12" i="7"/>
  <c r="A9" i="7"/>
  <c r="A8" i="7"/>
  <c r="A3" i="7"/>
  <c r="A4" i="7"/>
  <c r="A5" i="7"/>
  <c r="A2" i="7"/>
  <c r="O27" i="7"/>
  <c r="X39" i="60" l="1"/>
  <c r="X40" i="60"/>
  <c r="X36" i="60"/>
  <c r="X38" i="60"/>
  <c r="J37" i="60"/>
  <c r="X29" i="60"/>
  <c r="X32" i="60" s="1"/>
  <c r="X33" i="60" s="1"/>
  <c r="X34" i="60" s="1"/>
  <c r="X35" i="60" s="1"/>
  <c r="O34" i="60"/>
  <c r="O33" i="60"/>
  <c r="O30" i="60"/>
  <c r="O35" i="60"/>
  <c r="O31" i="60"/>
  <c r="O32" i="60"/>
  <c r="O38" i="60"/>
  <c r="O29" i="60"/>
  <c r="O36" i="60"/>
  <c r="O39" i="60"/>
  <c r="O37" i="60"/>
  <c r="F31" i="4"/>
  <c r="J37" i="62"/>
  <c r="X37" i="62"/>
  <c r="X40" i="62"/>
  <c r="X36" i="62"/>
  <c r="X38" i="62"/>
  <c r="X39" i="62"/>
  <c r="X33" i="62"/>
  <c r="X34" i="62" s="1"/>
  <c r="X35" i="62" s="1"/>
  <c r="F38" i="63"/>
  <c r="F38" i="61"/>
  <c r="AR3" i="9"/>
  <c r="AR4" i="9" s="1"/>
  <c r="H42" i="20"/>
  <c r="F37" i="4"/>
  <c r="X26" i="4" s="1"/>
  <c r="H44" i="20"/>
  <c r="Q17" i="4"/>
  <c r="H43" i="20"/>
  <c r="H45" i="20"/>
  <c r="T79" i="20"/>
  <c r="V79" i="20" s="1"/>
  <c r="N81" i="20"/>
  <c r="P80" i="20"/>
  <c r="Q80" i="20" s="1"/>
  <c r="R81" i="20"/>
  <c r="T80" i="20"/>
  <c r="P17" i="4"/>
  <c r="K84" i="7"/>
  <c r="N84" i="7"/>
  <c r="D58" i="4"/>
  <c r="G90" i="20" s="1"/>
  <c r="D57" i="4"/>
  <c r="F90" i="20" s="1"/>
  <c r="D56" i="4"/>
  <c r="E90" i="20" s="1"/>
  <c r="F55" i="4"/>
  <c r="D55" i="4"/>
  <c r="D90" i="20" s="1"/>
  <c r="F22" i="4"/>
  <c r="F41" i="4"/>
  <c r="F56" i="4"/>
  <c r="F58" i="4"/>
  <c r="F57" i="4"/>
  <c r="F31" i="60" l="1"/>
  <c r="F38" i="62"/>
  <c r="F38" i="60"/>
  <c r="N82" i="20"/>
  <c r="P81" i="20"/>
  <c r="Q81" i="20" s="1"/>
  <c r="V80" i="20"/>
  <c r="R82" i="20"/>
  <c r="T81" i="20"/>
  <c r="D117" i="20"/>
  <c r="E117" i="20"/>
  <c r="K56" i="4"/>
  <c r="K57" i="4"/>
  <c r="K58" i="4"/>
  <c r="K55" i="4"/>
  <c r="I90" i="20" s="1"/>
  <c r="G114" i="20" s="1"/>
  <c r="BR99" i="9"/>
  <c r="X28" i="4"/>
  <c r="F28" i="4"/>
  <c r="E41" i="20" s="1"/>
  <c r="E113" i="20"/>
  <c r="B66" i="20" l="1"/>
  <c r="AQ8" i="9"/>
  <c r="AQ9" i="9" s="1"/>
  <c r="AR8" i="9"/>
  <c r="AR9" i="9" s="1"/>
  <c r="H41" i="20"/>
  <c r="B65" i="20"/>
  <c r="AE24" i="9"/>
  <c r="E112" i="20"/>
  <c r="F114" i="20"/>
  <c r="D112" i="20"/>
  <c r="F115" i="20"/>
  <c r="G117" i="20"/>
  <c r="F117" i="20"/>
  <c r="G116" i="20"/>
  <c r="F116" i="20"/>
  <c r="E116" i="20"/>
  <c r="D114" i="20"/>
  <c r="P82" i="20"/>
  <c r="Q82" i="20" s="1"/>
  <c r="N83" i="20"/>
  <c r="V81" i="20"/>
  <c r="T82" i="20"/>
  <c r="R83" i="20"/>
  <c r="D116" i="20"/>
  <c r="D115" i="20"/>
  <c r="E115" i="20"/>
  <c r="G115" i="20"/>
  <c r="E114" i="20"/>
  <c r="R17" i="4"/>
  <c r="G112" i="20"/>
  <c r="D113" i="20"/>
  <c r="G113" i="20"/>
  <c r="F112" i="20"/>
  <c r="F113" i="20"/>
  <c r="AE14" i="9"/>
  <c r="BV99" i="9"/>
  <c r="BF99" i="9" s="1"/>
  <c r="K85" i="7"/>
  <c r="X38" i="4"/>
  <c r="X39" i="4"/>
  <c r="X40" i="4"/>
  <c r="X37" i="4"/>
  <c r="X29" i="4"/>
  <c r="X32" i="4" s="1"/>
  <c r="X33" i="4" s="1"/>
  <c r="X34" i="4" s="1"/>
  <c r="X35" i="4" s="1"/>
  <c r="X36" i="4" s="1"/>
  <c r="J37" i="4"/>
  <c r="F50" i="4"/>
  <c r="AE9" i="9" l="1"/>
  <c r="N76" i="7" s="1"/>
  <c r="AQ3" i="9"/>
  <c r="AQ4" i="9" s="1"/>
  <c r="I53" i="20"/>
  <c r="I41" i="20"/>
  <c r="AE54" i="9"/>
  <c r="N94" i="7" s="1"/>
  <c r="AE74" i="9"/>
  <c r="K102" i="7" s="1"/>
  <c r="K103" i="7" s="1"/>
  <c r="AE69" i="9"/>
  <c r="K100" i="7" s="1"/>
  <c r="AE49" i="9"/>
  <c r="N92" i="7" s="1"/>
  <c r="AE34" i="9"/>
  <c r="K86" i="7" s="1"/>
  <c r="K87" i="7" s="1"/>
  <c r="AE39" i="9"/>
  <c r="K88" i="7" s="1"/>
  <c r="K89" i="7" s="1"/>
  <c r="AE44" i="9"/>
  <c r="N90" i="7" s="1"/>
  <c r="AE99" i="9"/>
  <c r="N112" i="7" s="1"/>
  <c r="B117" i="20"/>
  <c r="B115" i="20"/>
  <c r="B116" i="20"/>
  <c r="V82" i="20"/>
  <c r="P83" i="20"/>
  <c r="Q83" i="20" s="1"/>
  <c r="N84" i="20"/>
  <c r="R84" i="20"/>
  <c r="T83" i="20"/>
  <c r="B112" i="20"/>
  <c r="B113" i="20"/>
  <c r="B114" i="20"/>
  <c r="K78" i="7"/>
  <c r="K79" i="7" s="1"/>
  <c r="N78" i="7"/>
  <c r="N82" i="7"/>
  <c r="K82" i="7"/>
  <c r="K83" i="7" s="1"/>
  <c r="AE19" i="9"/>
  <c r="BR89" i="9"/>
  <c r="BR4" i="9"/>
  <c r="K76" i="7" l="1"/>
  <c r="K77" i="7" s="1"/>
  <c r="J65" i="20"/>
  <c r="J69" i="20"/>
  <c r="J70" i="20"/>
  <c r="J71" i="20"/>
  <c r="J72" i="20"/>
  <c r="J68" i="20"/>
  <c r="J66" i="20"/>
  <c r="J67" i="20"/>
  <c r="K94" i="7"/>
  <c r="K95" i="7" s="1"/>
  <c r="AE79" i="9"/>
  <c r="K104" i="7" s="1"/>
  <c r="K105" i="7" s="1"/>
  <c r="K90" i="7"/>
  <c r="K91" i="7" s="1"/>
  <c r="N86" i="7"/>
  <c r="K92" i="7"/>
  <c r="N102" i="7"/>
  <c r="N88" i="7"/>
  <c r="V83" i="20"/>
  <c r="N85" i="20"/>
  <c r="P84" i="20"/>
  <c r="Q84" i="20" s="1"/>
  <c r="R85" i="20"/>
  <c r="K112" i="7"/>
  <c r="N100" i="7"/>
  <c r="N80" i="7"/>
  <c r="K80" i="7"/>
  <c r="K81" i="7" s="1"/>
  <c r="BV89" i="9"/>
  <c r="BF89" i="9" s="1"/>
  <c r="K101" i="7"/>
  <c r="BV59" i="9"/>
  <c r="BF59" i="9" s="1"/>
  <c r="BV4" i="9"/>
  <c r="BF4" i="9" s="1"/>
  <c r="AE4" i="9" s="1"/>
  <c r="F38" i="4"/>
  <c r="T84" i="20" l="1"/>
  <c r="V84" i="20" s="1"/>
  <c r="N86" i="20"/>
  <c r="P85" i="20"/>
  <c r="Q85" i="20" s="1"/>
  <c r="R86" i="20"/>
  <c r="T85" i="20"/>
  <c r="AE84" i="9"/>
  <c r="BR94" i="9"/>
  <c r="N74" i="7"/>
  <c r="K74" i="7"/>
  <c r="K75" i="7" s="1"/>
  <c r="AE59" i="9" s="1"/>
  <c r="BR64" i="9"/>
  <c r="N87" i="20" l="1"/>
  <c r="P86" i="20"/>
  <c r="Q86" i="20" s="1"/>
  <c r="V85" i="20"/>
  <c r="R87" i="20"/>
  <c r="N106" i="7"/>
  <c r="K106" i="7"/>
  <c r="K107" i="7" s="1"/>
  <c r="BV64" i="9"/>
  <c r="BF64" i="9" s="1"/>
  <c r="AE64" i="9" s="1"/>
  <c r="BV94" i="9"/>
  <c r="BF94" i="9" s="1"/>
  <c r="AE94" i="9" s="1"/>
  <c r="N110" i="7" s="1"/>
  <c r="N96" i="7"/>
  <c r="K96" i="7"/>
  <c r="K97" i="7" s="1"/>
  <c r="AE89" i="9"/>
  <c r="N108" i="7" s="1"/>
  <c r="T86" i="20" l="1"/>
  <c r="V86" i="20" s="1"/>
  <c r="P87" i="20"/>
  <c r="Q87" i="20" s="1"/>
  <c r="N88" i="20"/>
  <c r="R88" i="20"/>
  <c r="T87" i="20"/>
  <c r="N98" i="7"/>
  <c r="N113" i="7" s="1"/>
  <c r="N114" i="7" s="1"/>
  <c r="K98" i="7"/>
  <c r="K99" i="7" s="1"/>
  <c r="K110" i="7"/>
  <c r="K111" i="7" s="1"/>
  <c r="K108" i="7"/>
  <c r="K109" i="7" s="1"/>
  <c r="N89" i="20" l="1"/>
  <c r="P88" i="20"/>
  <c r="Q88" i="20" s="1"/>
  <c r="V87" i="20"/>
  <c r="R89" i="20"/>
  <c r="T88" i="20"/>
  <c r="N115" i="7"/>
  <c r="N116" i="7" s="1"/>
  <c r="N117" i="7" s="1"/>
  <c r="N90" i="20" l="1"/>
  <c r="P89" i="20"/>
  <c r="Q89" i="20" s="1"/>
  <c r="V88" i="20"/>
  <c r="R90" i="20"/>
  <c r="T89" i="20"/>
  <c r="P90" i="20" l="1"/>
  <c r="Q90" i="20" s="1"/>
  <c r="V89" i="20"/>
  <c r="T90" i="20" l="1"/>
  <c r="V90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 Hurni</author>
  </authors>
  <commentList>
    <comment ref="V17" authorId="0" shapeId="0" xr:uid="{0DB75161-1C92-4883-97BD-568B7EBE859C}">
      <text>
        <r>
          <rPr>
            <b/>
            <sz val="9"/>
            <color indexed="81"/>
            <rFont val="Segoe UI"/>
            <family val="2"/>
          </rPr>
          <t>Marcel Hurni:</t>
        </r>
        <r>
          <rPr>
            <sz val="9"/>
            <color indexed="81"/>
            <rFont val="Segoe UI"/>
            <family val="2"/>
          </rPr>
          <t xml:space="preserve">
Dieser Betrag wird  durch Anzahl Stück auf der Position geteilt und  aufgeschlagen
</t>
        </r>
      </text>
    </comment>
    <comment ref="W17" authorId="0" shapeId="0" xr:uid="{97ACF394-602F-4B01-99A7-D22766778DDA}">
      <text>
        <r>
          <rPr>
            <b/>
            <sz val="9"/>
            <color indexed="81"/>
            <rFont val="Segoe UI"/>
            <family val="2"/>
          </rPr>
          <t>Marcel Hurni:</t>
        </r>
        <r>
          <rPr>
            <sz val="9"/>
            <color indexed="81"/>
            <rFont val="Segoe UI"/>
            <family val="2"/>
          </rPr>
          <t xml:space="preserve">
Dieser Betrag wird Fix aufgeschlagen</t>
        </r>
      </text>
    </comment>
    <comment ref="X17" authorId="0" shapeId="0" xr:uid="{8328AE14-8CDA-4AAF-B512-7D569DEC275B}">
      <text>
        <r>
          <rPr>
            <b/>
            <sz val="9"/>
            <color indexed="81"/>
            <rFont val="Segoe UI"/>
            <family val="2"/>
          </rPr>
          <t>Marcel Hurni:</t>
        </r>
        <r>
          <rPr>
            <sz val="9"/>
            <color indexed="81"/>
            <rFont val="Segoe UI"/>
            <family val="2"/>
          </rPr>
          <t xml:space="preserve">
Dieser Betrag wird  durch Anzahl Stück  im Auftrag geteilt und  aufgeschlagen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<sst xmlns="http://schemas.openxmlformats.org/spreadsheetml/2006/main" count="2033" uniqueCount="301">
  <si>
    <t>Kunde:</t>
  </si>
  <si>
    <t>Termin und Daten</t>
  </si>
  <si>
    <t>Sprache/ Langue:</t>
  </si>
  <si>
    <t>Deutsch</t>
  </si>
  <si>
    <t>Rechnungsadresse:</t>
  </si>
  <si>
    <t>Lieferadresse:</t>
  </si>
  <si>
    <t>RL</t>
  </si>
  <si>
    <t>MWST</t>
  </si>
  <si>
    <t>Total</t>
  </si>
  <si>
    <t>Produktion Nullschwelle</t>
  </si>
  <si>
    <t>1. Zuschnitt</t>
  </si>
  <si>
    <t>Profil</t>
  </si>
  <si>
    <t>C492576</t>
  </si>
  <si>
    <t>Länge</t>
  </si>
  <si>
    <t>1.2 Trittprofil:</t>
  </si>
  <si>
    <t>C298927</t>
  </si>
  <si>
    <t>Links</t>
  </si>
  <si>
    <t>Rechts</t>
  </si>
  <si>
    <t>Mittelteil</t>
  </si>
  <si>
    <t>1.3 Planet</t>
  </si>
  <si>
    <t>Formeln für Entwässerunschlitz</t>
  </si>
  <si>
    <t>Mass1</t>
  </si>
  <si>
    <t>Mass2</t>
  </si>
  <si>
    <t>Anzahl</t>
  </si>
  <si>
    <t>Mass3</t>
  </si>
  <si>
    <t>2. Bearbeitung Nullschwellenprofil C492576</t>
  </si>
  <si>
    <t>Mass4</t>
  </si>
  <si>
    <t xml:space="preserve">Entwässerungsschlitze </t>
  </si>
  <si>
    <t>6x34mm</t>
  </si>
  <si>
    <t>immer Achsmasse von Links</t>
  </si>
  <si>
    <t>Mass5</t>
  </si>
  <si>
    <t>Erste Pos. (L) von Links</t>
  </si>
  <si>
    <t>Mass6</t>
  </si>
  <si>
    <t>Letzte Pos. (R) von Links</t>
  </si>
  <si>
    <t>Mass7</t>
  </si>
  <si>
    <t>2. Pos. (L) Von Links</t>
  </si>
  <si>
    <t>Anz. Schlitze</t>
  </si>
  <si>
    <t>Mass8</t>
  </si>
  <si>
    <t>Mass9</t>
  </si>
  <si>
    <t>2.2  Endbearbeitung Nullschwellenprofil C492576</t>
  </si>
  <si>
    <t>Mass10</t>
  </si>
  <si>
    <t xml:space="preserve">Bearbeitung Links </t>
  </si>
  <si>
    <t>Bearbeitung Rechts</t>
  </si>
  <si>
    <t>Befestigungslöcher L</t>
  </si>
  <si>
    <t>Befestigungslöcher R</t>
  </si>
  <si>
    <t>Abfräsung Steg L</t>
  </si>
  <si>
    <t>Abfräsung Steg R</t>
  </si>
  <si>
    <t>3 Bearbeitung Trittprofil Mitte</t>
  </si>
  <si>
    <t>6x20mm</t>
  </si>
  <si>
    <t>1. Pos. (L) Von Links</t>
  </si>
  <si>
    <t>aufteilen</t>
  </si>
  <si>
    <t>4 Verbreiterungen</t>
  </si>
  <si>
    <t>Aufbau</t>
  </si>
  <si>
    <t>Höhe</t>
  </si>
  <si>
    <t>Art nr</t>
  </si>
  <si>
    <t>Bezeichnung</t>
  </si>
  <si>
    <t>Produktion Nullschwelle (Zusammenzug)</t>
  </si>
  <si>
    <t>Stk</t>
  </si>
  <si>
    <t>Total m1</t>
  </si>
  <si>
    <t>Total Planet</t>
  </si>
  <si>
    <t>Aufbau Pos</t>
  </si>
  <si>
    <t>m1</t>
  </si>
  <si>
    <t>Jag Pos</t>
  </si>
  <si>
    <t>Rahmenverbreiterungen</t>
  </si>
  <si>
    <t>Franz</t>
  </si>
  <si>
    <t>Preise</t>
  </si>
  <si>
    <t>JAG Nr</t>
  </si>
  <si>
    <t>Kunde Name:</t>
  </si>
  <si>
    <t>Client Nom :</t>
  </si>
  <si>
    <t>VB1</t>
  </si>
  <si>
    <t>VB2</t>
  </si>
  <si>
    <t>VB3</t>
  </si>
  <si>
    <t>VB4</t>
  </si>
  <si>
    <t>Automatische bezeichnung aus Preistabellle</t>
  </si>
  <si>
    <t>Kontaktperson:</t>
  </si>
  <si>
    <t>Personne de contact :</t>
  </si>
  <si>
    <t>Planet Jansen</t>
  </si>
  <si>
    <t>Artikel</t>
  </si>
  <si>
    <t>Bruttopreis</t>
  </si>
  <si>
    <t>Einheit</t>
  </si>
  <si>
    <t>VE inh</t>
  </si>
  <si>
    <t>VE</t>
  </si>
  <si>
    <t>C224 165</t>
  </si>
  <si>
    <t>C205 440</t>
  </si>
  <si>
    <t>C218 082</t>
  </si>
  <si>
    <t>C298 930</t>
  </si>
  <si>
    <t>C298928</t>
  </si>
  <si>
    <t>Rüsten</t>
  </si>
  <si>
    <t>Sägen</t>
  </si>
  <si>
    <t>Bohren</t>
  </si>
  <si>
    <t>Kleben</t>
  </si>
  <si>
    <t>Artikelnummer aus Preistabelle (Nur was Grau ist kann angepasst werden von hand)</t>
  </si>
  <si>
    <t>C340 650</t>
  </si>
  <si>
    <t>Blendrahmenverbreitung 26/60 mm, roh</t>
  </si>
  <si>
    <t>Kommision:</t>
  </si>
  <si>
    <t>Commission :</t>
  </si>
  <si>
    <t>Aluprofil</t>
  </si>
  <si>
    <t>m</t>
  </si>
  <si>
    <t>Bruttopreise</t>
  </si>
  <si>
    <t>C340 010</t>
  </si>
  <si>
    <t>Blendrahmenverbreitung 34/60 mm, roh</t>
  </si>
  <si>
    <t>…</t>
  </si>
  <si>
    <t>Kontakt Telefon:</t>
  </si>
  <si>
    <t>Téléphone de contact :</t>
  </si>
  <si>
    <t>von</t>
  </si>
  <si>
    <t>bis</t>
  </si>
  <si>
    <t>KS-Trittschwelle</t>
  </si>
  <si>
    <t>Menge</t>
  </si>
  <si>
    <t>Menge (Nur was Grau ist kann angepasst werden von hand)</t>
  </si>
  <si>
    <t>C340 020</t>
  </si>
  <si>
    <t>Blendrahmenverbreiterung
44/60 mm, roh</t>
  </si>
  <si>
    <t>Strasse:</t>
  </si>
  <si>
    <t>Rue :</t>
  </si>
  <si>
    <t>C555366</t>
  </si>
  <si>
    <t>275 - 400 mm</t>
  </si>
  <si>
    <t>C340 030</t>
  </si>
  <si>
    <t>Blendrahmenverbreierung
54/60 mm, roh</t>
  </si>
  <si>
    <t>PLZ Ort:</t>
  </si>
  <si>
    <t>Code postal lieu :</t>
  </si>
  <si>
    <t>C555367</t>
  </si>
  <si>
    <t>400 - 550mm</t>
  </si>
  <si>
    <t>C9640248</t>
  </si>
  <si>
    <t>Blendrahmenverbreitung
100/60 mm, roh</t>
  </si>
  <si>
    <t>Kontakt:</t>
  </si>
  <si>
    <t>Contact :</t>
  </si>
  <si>
    <t>C555368</t>
  </si>
  <si>
    <t>550 - 700 mm</t>
  </si>
  <si>
    <t>Bestelldatum:</t>
  </si>
  <si>
    <t>Date de commande :</t>
  </si>
  <si>
    <t>C555369</t>
  </si>
  <si>
    <t>700 - 850 mm</t>
  </si>
  <si>
    <t>Wunsch Liefertermin:</t>
  </si>
  <si>
    <t>Date de livraison souhaitée :</t>
  </si>
  <si>
    <t>C555370</t>
  </si>
  <si>
    <t>850 - 1000 mm</t>
  </si>
  <si>
    <t>Bemerkung:</t>
  </si>
  <si>
    <t>Remarque :</t>
  </si>
  <si>
    <t>C555371</t>
  </si>
  <si>
    <t>1000 - 1150 mm</t>
  </si>
  <si>
    <t>Anschlussdichtung</t>
  </si>
  <si>
    <t>Bitte ganzes Excelfile senden an: Connex@jansen.com</t>
  </si>
  <si>
    <t>Veuillez envoyer l'intégralité du fichier Excel à : Connex@jansen.com</t>
  </si>
  <si>
    <t>C555372</t>
  </si>
  <si>
    <t>1150 - 1300 mm</t>
  </si>
  <si>
    <t>Linsenschaube 4.8x28</t>
  </si>
  <si>
    <t>C555373</t>
  </si>
  <si>
    <t>1300 - 1450 mm</t>
  </si>
  <si>
    <t>KS-Kupplungselemnt</t>
  </si>
  <si>
    <t>Anz.
Flügel</t>
  </si>
  <si>
    <t>Qté. Guichets</t>
  </si>
  <si>
    <t>Dichtstück</t>
  </si>
  <si>
    <t>Endstück mit Entwässerung</t>
  </si>
  <si>
    <t>RA</t>
  </si>
  <si>
    <t>CE</t>
  </si>
  <si>
    <t>RBL 
(min45)</t>
  </si>
  <si>
    <t>LC gauche</t>
  </si>
  <si>
    <t>RBR 
(min45)</t>
  </si>
  <si>
    <t>LC droite</t>
  </si>
  <si>
    <t>Verbreiterungen</t>
  </si>
  <si>
    <t>Elarissements</t>
  </si>
  <si>
    <t>totale</t>
  </si>
  <si>
    <t>Montage</t>
  </si>
  <si>
    <t>hauteur</t>
  </si>
  <si>
    <t>Maximum 2 Flg!</t>
  </si>
  <si>
    <t>Maximun 2 guichets</t>
  </si>
  <si>
    <t>Kunde pos.</t>
  </si>
  <si>
    <t>Pos. Client</t>
  </si>
  <si>
    <t>Ku-Pos</t>
  </si>
  <si>
    <t>Pos-CL</t>
  </si>
  <si>
    <t>Arbeit</t>
  </si>
  <si>
    <t>Bezeichnung (Nur zur info)</t>
  </si>
  <si>
    <t>Stückpreis</t>
  </si>
  <si>
    <t>Job 8</t>
  </si>
  <si>
    <t>Job 9</t>
  </si>
  <si>
    <t>Job 10</t>
  </si>
  <si>
    <t>Job 11</t>
  </si>
  <si>
    <t>Job 12</t>
  </si>
  <si>
    <t>Job 13</t>
  </si>
  <si>
    <t>Anz</t>
  </si>
  <si>
    <t>Job als Steg fräsen per m1</t>
  </si>
  <si>
    <t>Job als Transportanteil pro Auftrag</t>
  </si>
  <si>
    <t>Spedi</t>
  </si>
  <si>
    <t>Pro Auftrag</t>
  </si>
  <si>
    <t xml:space="preserve">Technische Bestellung 0-Schwelle </t>
  </si>
  <si>
    <t>Commande Seuil - 0 technique</t>
  </si>
  <si>
    <t>EP</t>
  </si>
  <si>
    <t>Steg</t>
  </si>
  <si>
    <t>Bearbeitungen pro Verbreiterung</t>
  </si>
  <si>
    <t>Pro m1</t>
  </si>
  <si>
    <t>Pro stk</t>
  </si>
  <si>
    <t>Löcher vorbohren…..</t>
  </si>
  <si>
    <t>Einziehen</t>
  </si>
  <si>
    <t>Dichtung einziehen</t>
  </si>
  <si>
    <t>preis m1 /Pos</t>
  </si>
  <si>
    <t>preis/stk</t>
  </si>
  <si>
    <t>Preise Verbreiterung</t>
  </si>
  <si>
    <t>Einrichtzeit</t>
  </si>
  <si>
    <t xml:space="preserve">Auftragsbestätigung 0-Schwelle </t>
  </si>
  <si>
    <t xml:space="preserve">Confirmation de commande Seuil - 0 </t>
  </si>
  <si>
    <t>Planet</t>
  </si>
  <si>
    <t>Verbr. Arbeit</t>
  </si>
  <si>
    <t>Richtpreis Händler in CHF</t>
  </si>
  <si>
    <t>Stand: 26.1.2023</t>
  </si>
  <si>
    <t>Total CHF</t>
  </si>
  <si>
    <t>Bitte beachten Sie unsere neuen allgemeinen Vertragsbedingungen (Ausgabe 09/2022), welche Bestandteil Ihrer Bestellung werden.
Freundliche Grüsse
Jansen AG</t>
  </si>
  <si>
    <t xml:space="preserve">Veuillez noter que nous avons révisé nos conditions contractuelles en septembre 2022 (édition 09/2022) et qu'elles sont applicables à votre commande.
Avec nos meilleures salutations
Jansen AG
</t>
  </si>
  <si>
    <t>TESTFASE!!!!!!!!!!!!!!</t>
  </si>
  <si>
    <t>5 Zubehör Rüstliste</t>
  </si>
  <si>
    <t>Licht zwischen Entschl.</t>
  </si>
  <si>
    <t>max dist</t>
  </si>
  <si>
    <t>anz abst</t>
  </si>
  <si>
    <t>abstand loch loch</t>
  </si>
  <si>
    <t>Entwässeruschlitz steht ins licht</t>
  </si>
  <si>
    <t>Maximale Distanz</t>
  </si>
  <si>
    <t>JAG-Pos</t>
  </si>
  <si>
    <t>Pos-JAG</t>
  </si>
  <si>
    <t>JAG Pos</t>
  </si>
  <si>
    <t>total m1</t>
  </si>
  <si>
    <t>=</t>
  </si>
  <si>
    <t>ca 6m Stangen</t>
  </si>
  <si>
    <t>Trittporfil</t>
  </si>
  <si>
    <t>pos1</t>
  </si>
  <si>
    <t>pos2</t>
  </si>
  <si>
    <t>pos3</t>
  </si>
  <si>
    <t>pos4</t>
  </si>
  <si>
    <t>pos5</t>
  </si>
  <si>
    <t>pos6</t>
  </si>
  <si>
    <t>pos7</t>
  </si>
  <si>
    <t>pos8</t>
  </si>
  <si>
    <t>pos9</t>
  </si>
  <si>
    <t>pos10</t>
  </si>
  <si>
    <t>pos11</t>
  </si>
  <si>
    <t>pos12</t>
  </si>
  <si>
    <t>pos13</t>
  </si>
  <si>
    <t>pos14</t>
  </si>
  <si>
    <t>pos15</t>
  </si>
  <si>
    <t>pos16</t>
  </si>
  <si>
    <t>pos17</t>
  </si>
  <si>
    <t>pos18</t>
  </si>
  <si>
    <t>pos19</t>
  </si>
  <si>
    <t>pos20</t>
  </si>
  <si>
    <t>Ca.total Stangen</t>
  </si>
  <si>
    <t>DATEN!$AD3*DATEN!AL4</t>
  </si>
  <si>
    <t>DATEN</t>
  </si>
  <si>
    <t>=DATEN!$AD$3*DATEN!$AP$5</t>
  </si>
  <si>
    <t>=DATEN!$AD$8*DATEN!$AP$10</t>
  </si>
  <si>
    <t>=DATEN!$AD$13*DATEN!$AP$15</t>
  </si>
  <si>
    <t>=DATEN!$AD$18*DATEN!$AP$20</t>
  </si>
  <si>
    <t>=DATEN!$AD$23*DATEN!$AP$25</t>
  </si>
  <si>
    <t>=DATEN!$AD$28*DATEN!$AP$30</t>
  </si>
  <si>
    <t>=DATEN!$AD$33*DATEN!$AP$35</t>
  </si>
  <si>
    <t>=DATEN!$AD$38*DATEN!$AP$40</t>
  </si>
  <si>
    <t>=DATEN!$AD$43*DATEN!$AP$45</t>
  </si>
  <si>
    <t>=DATEN!$AD$48*DATEN!$AP$50</t>
  </si>
  <si>
    <t>=DATEN!$AD$53*DATEN!$AP$55</t>
  </si>
  <si>
    <t>=DATEN!$AD$58*DATEN!$AP$60</t>
  </si>
  <si>
    <t>=DATEN!$AD$63*DATEN!$AP$65</t>
  </si>
  <si>
    <t>=DATEN!$AD$68*DATEN!$AP$70</t>
  </si>
  <si>
    <t>=DATEN!$AD$73*DATEN!$AP$75</t>
  </si>
  <si>
    <t>=DATEN!$AD$78*DATEN!$AP$80</t>
  </si>
  <si>
    <t>=DATEN!$AD$83*DATEN!$AP$85</t>
  </si>
  <si>
    <t>=DATEN!$AD$88*DATEN!$AP$90</t>
  </si>
  <si>
    <t>=DATEN!$AD$93*DATEN!$AP$95</t>
  </si>
  <si>
    <t>=DATEN!$AD$98*DATEN!$AP$100</t>
  </si>
  <si>
    <t>=pos1!$E$30</t>
  </si>
  <si>
    <t>=pos2!$E$30</t>
  </si>
  <si>
    <t>=pos3!$E$30</t>
  </si>
  <si>
    <t>=pos4!$E$30</t>
  </si>
  <si>
    <t>=pos5!$E$30</t>
  </si>
  <si>
    <t>=pos6!$E$30</t>
  </si>
  <si>
    <t>=pos7!$E$30</t>
  </si>
  <si>
    <t>=pos8!$E$30</t>
  </si>
  <si>
    <t>=pos9!$E$30</t>
  </si>
  <si>
    <t>=pos10!$E$30</t>
  </si>
  <si>
    <t>=pos11!$E$30</t>
  </si>
  <si>
    <t>=pos12!$E$30</t>
  </si>
  <si>
    <t>=pos13!$E$30</t>
  </si>
  <si>
    <t>=pos14!$E$30</t>
  </si>
  <si>
    <t>=pos15!$E$30</t>
  </si>
  <si>
    <t>=pos16!$E$30</t>
  </si>
  <si>
    <t>=pos17!$E$30</t>
  </si>
  <si>
    <t>=pos18!$E$30</t>
  </si>
  <si>
    <t>=pos19!$E$30</t>
  </si>
  <si>
    <t>=pos20!$E$30</t>
  </si>
  <si>
    <t>Zu Kurz</t>
  </si>
  <si>
    <t>Planet ist zu kurz</t>
  </si>
  <si>
    <t>Zu Lang</t>
  </si>
  <si>
    <t>Panet ist zu Lang</t>
  </si>
  <si>
    <t>Kontaktagaben Jansen AG</t>
  </si>
  <si>
    <t>Kontaktpersonen JANSEN</t>
  </si>
  <si>
    <t>Kontakt JAG</t>
  </si>
  <si>
    <t>Contacte JAG</t>
  </si>
  <si>
    <t>E- Mail:</t>
  </si>
  <si>
    <t>Planet 1</t>
  </si>
  <si>
    <t>Planet 2</t>
  </si>
  <si>
    <t>Stk Schw.</t>
  </si>
  <si>
    <t>pecs seuil</t>
  </si>
  <si>
    <t>Sonder-bau</t>
  </si>
  <si>
    <t>F2 Drücken um formel zu aktivieren</t>
  </si>
  <si>
    <t>Zu kurz</t>
  </si>
  <si>
    <t>V9.5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</si>
</sst>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0.0%"/>
    <numFmt numFmtId="165" formatCode="0.00\ &quot;CHF/Stk&quot;"/>
    <numFmt numFmtId="166" formatCode="0.00\ &quot;CHF/m1&quot;"/>
    <numFmt numFmtId="167" formatCode="0.00000000"/>
    <numFmt numFmtId="168" formatCode="0\ &quot;Stk&quot;"/>
    <numFmt numFmtId="169" formatCode="&quot;Pos&quot;\ 0"/>
  </numFmts>
  <fonts count="28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rgb="FF00B050"/>
      <name val="Arial"/>
      <family val="2"/>
    </font>
    <font>
      <i/>
      <sz val="11"/>
      <color theme="1"/>
      <name val="Arial"/>
      <family val="2"/>
    </font>
    <font>
      <sz val="11"/>
      <color rgb="FF191919"/>
      <name val="Verdana"/>
      <family val="2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theme="1" tint="0.499984740745262"/>
      <name val="Calibri"/>
      <family val="2"/>
      <scheme val="minor"/>
    </font>
    <font>
      <sz val="11"/>
      <color rgb="FFFF0000"/>
      <name val="Arial"/>
      <family val="2"/>
    </font>
    <font>
      <b/>
      <sz val="22"/>
      <color theme="1"/>
      <name val="Arial"/>
      <family val="2"/>
    </font>
    <font>
      <sz val="6"/>
      <color theme="0" tint="-0.499984740745262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24"/>
      <color theme="1"/>
      <name val="Arial"/>
      <family val="2"/>
    </font>
    <font>
      <sz val="8"/>
      <color theme="1"/>
      <name val="Calibri"/>
      <family val="2"/>
      <scheme val="minor"/>
    </font>
    <font>
      <u/>
      <sz val="11"/>
      <color theme="10"/>
      <name val="Arial"/>
      <family val="2"/>
    </font>
    <font>
      <sz val="18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4"/>
      <color theme="1"/>
      <name val="Arial"/>
      <family val="2"/>
    </font>
    <font>
      <sz val="16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 diagonalDown="1">
      <left style="medium">
        <color indexed="64"/>
      </left>
      <right style="thin">
        <color indexed="64"/>
      </right>
      <top/>
      <bottom style="medium">
        <color indexed="64"/>
      </bottom>
      <diagonal style="medium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6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5" borderId="0" xfId="0" applyFill="1"/>
    <xf numFmtId="0" fontId="0" fillId="5" borderId="0" xfId="0" applyFill="1" applyAlignment="1">
      <alignment wrapText="1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11" fillId="0" borderId="0" xfId="0" applyFont="1"/>
    <xf numFmtId="0" fontId="0" fillId="4" borderId="0" xfId="0" applyFill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7" xfId="0" applyFill="1" applyBorder="1" applyAlignment="1">
      <alignment horizontal="center" vertical="center" shrinkToFit="1"/>
    </xf>
    <xf numFmtId="0" fontId="1" fillId="0" borderId="0" xfId="0" applyFont="1"/>
    <xf numFmtId="3" fontId="0" fillId="2" borderId="0" xfId="0" applyNumberFormat="1" applyFill="1" applyAlignment="1">
      <alignment horizontal="center"/>
    </xf>
    <xf numFmtId="0" fontId="0" fillId="6" borderId="0" xfId="0" applyFill="1"/>
    <xf numFmtId="0" fontId="0" fillId="6" borderId="1" xfId="0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4" fillId="0" borderId="0" xfId="0" applyFont="1"/>
    <xf numFmtId="0" fontId="2" fillId="0" borderId="0" xfId="0" applyFont="1"/>
    <xf numFmtId="0" fontId="3" fillId="0" borderId="0" xfId="0" applyFont="1"/>
    <xf numFmtId="0" fontId="1" fillId="4" borderId="0" xfId="0" applyFont="1" applyFill="1"/>
    <xf numFmtId="0" fontId="0" fillId="4" borderId="0" xfId="0" applyFill="1"/>
    <xf numFmtId="3" fontId="3" fillId="2" borderId="0" xfId="0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0" fontId="10" fillId="0" borderId="0" xfId="0" applyFont="1" applyAlignment="1">
      <alignment horizontal="center"/>
    </xf>
    <xf numFmtId="0" fontId="0" fillId="4" borderId="0" xfId="0" applyFill="1" applyAlignment="1">
      <alignment horizontal="center" vertical="center" shrinkToFit="1"/>
    </xf>
    <xf numFmtId="0" fontId="0" fillId="4" borderId="16" xfId="0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10" fillId="0" borderId="0" xfId="0" applyFont="1"/>
    <xf numFmtId="0" fontId="0" fillId="0" borderId="1" xfId="0" applyBorder="1" applyAlignment="1">
      <alignment horizontal="left"/>
    </xf>
    <xf numFmtId="0" fontId="14" fillId="0" borderId="0" xfId="0" applyFont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1" fontId="0" fillId="0" borderId="1" xfId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6" xfId="0" applyBorder="1"/>
    <xf numFmtId="0" fontId="0" fillId="0" borderId="17" xfId="0" applyBorder="1"/>
    <xf numFmtId="0" fontId="0" fillId="0" borderId="12" xfId="0" applyBorder="1"/>
    <xf numFmtId="0" fontId="0" fillId="0" borderId="13" xfId="0" applyBorder="1"/>
    <xf numFmtId="0" fontId="0" fillId="0" borderId="1" xfId="0" applyBorder="1" applyAlignment="1">
      <alignment vertical="center"/>
    </xf>
    <xf numFmtId="0" fontId="0" fillId="0" borderId="20" xfId="0" applyBorder="1" applyAlignment="1">
      <alignment vertical="center"/>
    </xf>
    <xf numFmtId="14" fontId="0" fillId="0" borderId="10" xfId="0" applyNumberFormat="1" applyBorder="1"/>
    <xf numFmtId="0" fontId="0" fillId="4" borderId="21" xfId="0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7" borderId="22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7" borderId="24" xfId="0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2" xfId="0" applyBorder="1" applyAlignment="1">
      <alignment horizontal="center"/>
    </xf>
    <xf numFmtId="2" fontId="1" fillId="8" borderId="0" xfId="0" applyNumberFormat="1" applyFont="1" applyFill="1" applyAlignment="1">
      <alignment horizontal="center"/>
    </xf>
    <xf numFmtId="2" fontId="0" fillId="8" borderId="19" xfId="0" applyNumberFormat="1" applyFill="1" applyBorder="1" applyAlignment="1">
      <alignment horizontal="center" vertical="center" wrapText="1"/>
    </xf>
    <xf numFmtId="2" fontId="0" fillId="8" borderId="24" xfId="0" applyNumberForma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6" xfId="0" applyFill="1" applyBorder="1"/>
    <xf numFmtId="0" fontId="0" fillId="4" borderId="17" xfId="0" applyFill="1" applyBorder="1"/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7" borderId="25" xfId="0" applyFill="1" applyBorder="1" applyAlignment="1">
      <alignment horizontal="center" vertical="center" wrapText="1"/>
    </xf>
    <xf numFmtId="0" fontId="0" fillId="7" borderId="22" xfId="0" applyFill="1" applyBorder="1" applyAlignment="1">
      <alignment horizontal="center"/>
    </xf>
    <xf numFmtId="0" fontId="0" fillId="7" borderId="16" xfId="0" applyFill="1" applyBorder="1" applyAlignment="1">
      <alignment horizontal="center" vertical="center" wrapText="1"/>
    </xf>
    <xf numFmtId="2" fontId="0" fillId="8" borderId="16" xfId="0" applyNumberFormat="1" applyFill="1" applyBorder="1" applyAlignment="1">
      <alignment horizontal="center" vertical="center" wrapText="1"/>
    </xf>
    <xf numFmtId="0" fontId="0" fillId="7" borderId="26" xfId="0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43" fontId="0" fillId="0" borderId="0" xfId="0" applyNumberFormat="1" applyAlignment="1">
      <alignment horizontal="left"/>
    </xf>
    <xf numFmtId="0" fontId="0" fillId="4" borderId="9" xfId="0" applyFill="1" applyBorder="1"/>
    <xf numFmtId="0" fontId="0" fillId="4" borderId="10" xfId="0" applyFill="1" applyBorder="1"/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 vertical="center" wrapText="1"/>
    </xf>
    <xf numFmtId="2" fontId="0" fillId="8" borderId="0" xfId="0" applyNumberFormat="1" applyFill="1" applyAlignment="1">
      <alignment horizontal="center" vertical="center" wrapText="1"/>
    </xf>
    <xf numFmtId="0" fontId="0" fillId="0" borderId="11" xfId="0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13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13" xfId="0" applyNumberFormat="1" applyBorder="1" applyAlignment="1">
      <alignment horizontal="center"/>
    </xf>
    <xf numFmtId="0" fontId="0" fillId="11" borderId="0" xfId="0" applyFill="1"/>
    <xf numFmtId="166" fontId="0" fillId="11" borderId="0" xfId="0" applyNumberFormat="1" applyFill="1" applyAlignment="1">
      <alignment horizontal="center"/>
    </xf>
    <xf numFmtId="165" fontId="0" fillId="11" borderId="0" xfId="0" applyNumberFormat="1" applyFill="1" applyAlignment="1">
      <alignment horizontal="center"/>
    </xf>
    <xf numFmtId="0" fontId="0" fillId="9" borderId="0" xfId="0" applyFill="1"/>
    <xf numFmtId="165" fontId="0" fillId="0" borderId="17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" fontId="1" fillId="8" borderId="0" xfId="0" applyNumberFormat="1" applyFont="1" applyFill="1" applyAlignment="1">
      <alignment horizontal="center"/>
    </xf>
    <xf numFmtId="0" fontId="18" fillId="9" borderId="0" xfId="0" applyFont="1" applyFill="1"/>
    <xf numFmtId="0" fontId="18" fillId="0" borderId="0" xfId="0" applyFont="1"/>
    <xf numFmtId="0" fontId="0" fillId="10" borderId="1" xfId="0" applyFill="1" applyBorder="1" applyAlignment="1">
      <alignment horizontal="center" vertical="center"/>
    </xf>
    <xf numFmtId="0" fontId="0" fillId="5" borderId="0" xfId="0" applyFill="1" applyAlignment="1">
      <alignment vertical="top" wrapText="1"/>
    </xf>
    <xf numFmtId="167" fontId="17" fillId="0" borderId="0" xfId="0" applyNumberFormat="1" applyFont="1" applyAlignment="1">
      <alignment horizontal="left"/>
    </xf>
    <xf numFmtId="164" fontId="0" fillId="0" borderId="0" xfId="2" applyNumberFormat="1" applyFont="1" applyAlignment="1" applyProtection="1"/>
    <xf numFmtId="0" fontId="19" fillId="0" borderId="0" xfId="0" applyFont="1"/>
    <xf numFmtId="0" fontId="19" fillId="0" borderId="0" xfId="0" applyFont="1" applyAlignment="1">
      <alignment horizontal="center"/>
    </xf>
    <xf numFmtId="43" fontId="0" fillId="0" borderId="0" xfId="0" applyNumberFormat="1" applyAlignment="1">
      <alignment horizontal="center"/>
    </xf>
    <xf numFmtId="9" fontId="0" fillId="0" borderId="0" xfId="2" applyFont="1" applyAlignment="1" applyProtection="1">
      <protection locked="0"/>
    </xf>
    <xf numFmtId="0" fontId="1" fillId="5" borderId="0" xfId="0" applyFont="1" applyFill="1" applyAlignment="1">
      <alignment horizontal="center"/>
    </xf>
    <xf numFmtId="0" fontId="0" fillId="7" borderId="1" xfId="0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0" fillId="12" borderId="1" xfId="0" applyFill="1" applyBorder="1"/>
    <xf numFmtId="0" fontId="0" fillId="0" borderId="0" xfId="0" applyAlignment="1">
      <alignment horizontal="right"/>
    </xf>
    <xf numFmtId="3" fontId="0" fillId="0" borderId="0" xfId="0" applyNumberFormat="1"/>
    <xf numFmtId="0" fontId="3" fillId="2" borderId="0" xfId="0" applyFont="1" applyFill="1" applyAlignment="1">
      <alignment horizontal="left"/>
    </xf>
    <xf numFmtId="43" fontId="0" fillId="0" borderId="0" xfId="1" applyFont="1" applyAlignment="1">
      <alignment horizontal="center" vertical="center"/>
    </xf>
    <xf numFmtId="0" fontId="0" fillId="4" borderId="14" xfId="0" applyFill="1" applyBorder="1" applyAlignment="1">
      <alignment horizontal="center"/>
    </xf>
    <xf numFmtId="169" fontId="0" fillId="0" borderId="0" xfId="0" applyNumberFormat="1" applyAlignment="1">
      <alignment horizontal="left"/>
    </xf>
    <xf numFmtId="43" fontId="0" fillId="0" borderId="0" xfId="1" applyFont="1" applyAlignment="1">
      <alignment vertical="center"/>
    </xf>
    <xf numFmtId="0" fontId="0" fillId="0" borderId="29" xfId="0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8" fillId="7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7" xfId="0" applyBorder="1" applyAlignment="1">
      <alignment horizontal="center"/>
    </xf>
    <xf numFmtId="169" fontId="0" fillId="0" borderId="29" xfId="0" applyNumberFormat="1" applyBorder="1" applyAlignment="1">
      <alignment horizontal="left"/>
    </xf>
    <xf numFmtId="169" fontId="0" fillId="0" borderId="20" xfId="0" applyNumberFormat="1" applyBorder="1" applyAlignment="1">
      <alignment horizontal="left"/>
    </xf>
    <xf numFmtId="169" fontId="0" fillId="0" borderId="27" xfId="0" applyNumberFormat="1" applyBorder="1" applyAlignment="1">
      <alignment horizontal="left"/>
    </xf>
    <xf numFmtId="0" fontId="17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10" fillId="0" borderId="2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168" fontId="0" fillId="3" borderId="0" xfId="0" applyNumberFormat="1" applyFill="1" applyAlignment="1">
      <alignment horizontal="center"/>
    </xf>
    <xf numFmtId="0" fontId="0" fillId="4" borderId="10" xfId="0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6" fillId="3" borderId="32" xfId="0" applyFont="1" applyFill="1" applyBorder="1" applyAlignment="1" applyProtection="1">
      <alignment horizontal="center"/>
      <protection locked="0"/>
    </xf>
    <xf numFmtId="0" fontId="26" fillId="15" borderId="32" xfId="0" applyFont="1" applyFill="1" applyBorder="1" applyAlignment="1">
      <alignment horizontal="center"/>
    </xf>
    <xf numFmtId="0" fontId="26" fillId="3" borderId="33" xfId="0" applyFont="1" applyFill="1" applyBorder="1" applyAlignment="1">
      <alignment horizontal="center"/>
    </xf>
    <xf numFmtId="0" fontId="26" fillId="15" borderId="29" xfId="0" applyFont="1" applyFill="1" applyBorder="1" applyAlignment="1">
      <alignment horizontal="center"/>
    </xf>
    <xf numFmtId="0" fontId="26" fillId="15" borderId="29" xfId="0" applyFont="1" applyFill="1" applyBorder="1"/>
    <xf numFmtId="0" fontId="26" fillId="15" borderId="34" xfId="0" applyFont="1" applyFill="1" applyBorder="1"/>
    <xf numFmtId="0" fontId="26" fillId="0" borderId="32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26" fillId="0" borderId="15" xfId="0" applyFont="1" applyBorder="1"/>
    <xf numFmtId="0" fontId="26" fillId="0" borderId="18" xfId="0" applyFont="1" applyBorder="1"/>
    <xf numFmtId="0" fontId="26" fillId="5" borderId="32" xfId="0" applyFont="1" applyFill="1" applyBorder="1" applyAlignment="1" applyProtection="1">
      <alignment horizontal="center"/>
      <protection locked="0"/>
    </xf>
    <xf numFmtId="0" fontId="20" fillId="14" borderId="29" xfId="0" applyFont="1" applyFill="1" applyBorder="1" applyAlignment="1" applyProtection="1">
      <alignment horizontal="center"/>
      <protection locked="0"/>
    </xf>
    <xf numFmtId="0" fontId="20" fillId="14" borderId="15" xfId="0" applyFont="1" applyFill="1" applyBorder="1" applyAlignment="1" applyProtection="1">
      <alignment horizontal="center"/>
      <protection locked="0"/>
    </xf>
    <xf numFmtId="2" fontId="0" fillId="3" borderId="0" xfId="0" applyNumberFormat="1" applyFill="1" applyAlignment="1">
      <alignment horizontal="right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7" fillId="4" borderId="7" xfId="0" applyFont="1" applyFill="1" applyBorder="1" applyAlignment="1">
      <alignment horizontal="left"/>
    </xf>
    <xf numFmtId="0" fontId="7" fillId="4" borderId="8" xfId="0" applyFont="1" applyFill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5" borderId="3" xfId="0" applyFont="1" applyFill="1" applyBorder="1" applyAlignment="1" applyProtection="1">
      <alignment horizontal="left"/>
      <protection locked="0"/>
    </xf>
    <xf numFmtId="0" fontId="7" fillId="5" borderId="4" xfId="0" applyFont="1" applyFill="1" applyBorder="1" applyAlignment="1" applyProtection="1">
      <alignment horizontal="left"/>
      <protection locked="0"/>
    </xf>
    <xf numFmtId="0" fontId="7" fillId="0" borderId="19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0" fillId="0" borderId="0" xfId="0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locked="0"/>
    </xf>
    <xf numFmtId="2" fontId="0" fillId="3" borderId="0" xfId="0" applyNumberFormat="1" applyFill="1" applyAlignment="1">
      <alignment horizontal="center"/>
    </xf>
    <xf numFmtId="168" fontId="0" fillId="3" borderId="0" xfId="0" applyNumberFormat="1" applyFill="1" applyAlignment="1">
      <alignment horizontal="center"/>
    </xf>
    <xf numFmtId="0" fontId="0" fillId="4" borderId="0" xfId="0" applyFill="1" applyAlignment="1">
      <alignment horizontal="center" vertical="center" wrapText="1"/>
    </xf>
    <xf numFmtId="14" fontId="7" fillId="5" borderId="3" xfId="0" applyNumberFormat="1" applyFont="1" applyFill="1" applyBorder="1" applyAlignment="1" applyProtection="1">
      <alignment horizontal="left"/>
      <protection locked="0"/>
    </xf>
    <xf numFmtId="14" fontId="7" fillId="5" borderId="4" xfId="0" applyNumberFormat="1" applyFont="1" applyFill="1" applyBorder="1" applyAlignment="1" applyProtection="1">
      <alignment horizontal="left"/>
      <protection locked="0"/>
    </xf>
    <xf numFmtId="0" fontId="7" fillId="5" borderId="1" xfId="0" applyFont="1" applyFill="1" applyBorder="1" applyAlignment="1" applyProtection="1">
      <alignment horizontal="left"/>
      <protection locked="0"/>
    </xf>
    <xf numFmtId="0" fontId="26" fillId="3" borderId="32" xfId="0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left"/>
    </xf>
    <xf numFmtId="0" fontId="26" fillId="3" borderId="37" xfId="0" applyFont="1" applyFill="1" applyBorder="1" applyAlignment="1" applyProtection="1">
      <alignment horizontal="center"/>
      <protection locked="0"/>
    </xf>
    <xf numFmtId="0" fontId="26" fillId="3" borderId="38" xfId="0" applyFont="1" applyFill="1" applyBorder="1" applyAlignment="1" applyProtection="1">
      <alignment horizontal="center"/>
      <protection locked="0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27" fillId="15" borderId="35" xfId="0" applyFont="1" applyFill="1" applyBorder="1" applyAlignment="1">
      <alignment horizontal="center" vertical="center"/>
    </xf>
    <xf numFmtId="0" fontId="27" fillId="15" borderId="36" xfId="0" applyFont="1" applyFill="1" applyBorder="1" applyAlignment="1">
      <alignment horizontal="center" vertical="center"/>
    </xf>
    <xf numFmtId="0" fontId="27" fillId="13" borderId="35" xfId="0" applyFont="1" applyFill="1" applyBorder="1" applyAlignment="1">
      <alignment horizontal="center" vertical="center"/>
    </xf>
    <xf numFmtId="0" fontId="27" fillId="13" borderId="36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 shrinkToFit="1"/>
    </xf>
    <xf numFmtId="0" fontId="0" fillId="4" borderId="13" xfId="0" applyFill="1" applyBorder="1" applyAlignment="1">
      <alignment horizontal="center" vertical="center" wrapText="1" shrinkToFi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7" fillId="4" borderId="0" xfId="0" applyFont="1" applyFill="1" applyAlignment="1">
      <alignment horizontal="left"/>
    </xf>
    <xf numFmtId="0" fontId="23" fillId="5" borderId="3" xfId="3" applyFill="1" applyBorder="1" applyAlignment="1" applyProtection="1">
      <alignment horizontal="left"/>
      <protection locked="0"/>
    </xf>
    <xf numFmtId="0" fontId="0" fillId="0" borderId="0" xfId="0" applyAlignment="1">
      <alignment horizontal="left" vertical="top" wrapText="1"/>
    </xf>
    <xf numFmtId="43" fontId="19" fillId="0" borderId="0" xfId="0" applyNumberFormat="1" applyFont="1" applyAlignment="1">
      <alignment horizontal="center"/>
    </xf>
    <xf numFmtId="43" fontId="0" fillId="0" borderId="0" xfId="1" applyFont="1" applyAlignment="1" applyProtection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6" borderId="13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4" borderId="0" xfId="0" applyFill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3" borderId="1" xfId="0" applyFill="1" applyBorder="1" applyAlignment="1">
      <alignment horizontal="left"/>
    </xf>
    <xf numFmtId="2" fontId="1" fillId="5" borderId="19" xfId="0" applyNumberFormat="1" applyFont="1" applyFill="1" applyBorder="1" applyAlignment="1">
      <alignment horizontal="center"/>
    </xf>
    <xf numFmtId="2" fontId="1" fillId="5" borderId="0" xfId="0" applyNumberFormat="1" applyFont="1" applyFill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31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1" xfId="0" applyBorder="1" applyAlignment="1">
      <alignment horizontal="center"/>
    </xf>
    <xf numFmtId="0" fontId="7" fillId="8" borderId="7" xfId="0" applyFont="1" applyFill="1" applyBorder="1" applyAlignment="1">
      <alignment horizontal="left"/>
    </xf>
    <xf numFmtId="0" fontId="7" fillId="8" borderId="8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7" fillId="8" borderId="0" xfId="0" applyFont="1" applyFill="1" applyAlignment="1">
      <alignment horizontal="left"/>
    </xf>
    <xf numFmtId="0" fontId="0" fillId="0" borderId="0" xfId="0" applyAlignment="1">
      <alignment horizontal="left" vertical="top"/>
    </xf>
    <xf numFmtId="43" fontId="0" fillId="0" borderId="29" xfId="1" applyFont="1" applyBorder="1" applyAlignment="1">
      <alignment horizontal="center" vertical="center" wrapText="1"/>
    </xf>
    <xf numFmtId="43" fontId="0" fillId="0" borderId="20" xfId="1" applyFont="1" applyBorder="1" applyAlignment="1">
      <alignment horizontal="center" vertical="center" wrapText="1"/>
    </xf>
    <xf numFmtId="0" fontId="0" fillId="0" borderId="29" xfId="1" applyNumberFormat="1" applyFont="1" applyBorder="1" applyAlignment="1">
      <alignment horizontal="center" vertical="center"/>
    </xf>
    <xf numFmtId="43" fontId="0" fillId="0" borderId="20" xfId="1" applyFont="1" applyBorder="1" applyAlignment="1">
      <alignment horizontal="center" vertical="center"/>
    </xf>
    <xf numFmtId="43" fontId="0" fillId="0" borderId="27" xfId="1" applyFont="1" applyBorder="1" applyAlignment="1">
      <alignment horizontal="center" vertical="center"/>
    </xf>
    <xf numFmtId="0" fontId="24" fillId="0" borderId="0" xfId="0" applyFont="1" applyAlignment="1">
      <alignment horizontal="center" wrapText="1"/>
    </xf>
    <xf numFmtId="0" fontId="1" fillId="8" borderId="0" xfId="0" applyFont="1" applyFill="1" applyAlignment="1">
      <alignment horizontal="left"/>
    </xf>
    <xf numFmtId="0" fontId="20" fillId="4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21" fillId="0" borderId="0" xfId="0" applyFont="1" applyAlignment="1">
      <alignment horizontal="center" vertical="center" textRotation="90"/>
    </xf>
    <xf numFmtId="0" fontId="6" fillId="0" borderId="0" xfId="0" applyFont="1" applyAlignment="1">
      <alignment horizontal="center" vertical="center"/>
    </xf>
    <xf numFmtId="14" fontId="0" fillId="3" borderId="19" xfId="0" applyNumberFormat="1" applyFill="1" applyBorder="1" applyAlignment="1">
      <alignment horizontal="center"/>
    </xf>
    <xf numFmtId="14" fontId="0" fillId="3" borderId="0" xfId="0" applyNumberFormat="1" applyFill="1" applyAlignment="1">
      <alignment horizontal="center"/>
    </xf>
    <xf numFmtId="14" fontId="0" fillId="3" borderId="5" xfId="0" applyNumberFormat="1" applyFill="1" applyBorder="1" applyAlignment="1">
      <alignment horizontal="center"/>
    </xf>
    <xf numFmtId="14" fontId="0" fillId="3" borderId="6" xfId="0" applyNumberFormat="1" applyFill="1" applyBorder="1" applyAlignment="1">
      <alignment horizontal="center"/>
    </xf>
    <xf numFmtId="0" fontId="7" fillId="8" borderId="2" xfId="0" applyFont="1" applyFill="1" applyBorder="1" applyAlignment="1">
      <alignment horizontal="left"/>
    </xf>
    <xf numFmtId="0" fontId="7" fillId="8" borderId="3" xfId="0" applyFont="1" applyFill="1" applyBorder="1" applyAlignment="1">
      <alignment horizontal="left"/>
    </xf>
    <xf numFmtId="0" fontId="7" fillId="8" borderId="4" xfId="0" applyFont="1" applyFill="1" applyBorder="1" applyAlignment="1">
      <alignment horizontal="left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8" borderId="5" xfId="0" applyFill="1" applyBorder="1" applyAlignment="1">
      <alignment horizontal="left"/>
    </xf>
    <xf numFmtId="0" fontId="0" fillId="8" borderId="6" xfId="0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25" fillId="0" borderId="0" xfId="0" applyFont="1" applyAlignment="1">
      <alignment horizontal="center" wrapText="1"/>
    </xf>
    <xf numFmtId="14" fontId="0" fillId="3" borderId="2" xfId="0" applyNumberFormat="1" applyFill="1" applyBorder="1" applyAlignment="1">
      <alignment horizontal="left"/>
    </xf>
    <xf numFmtId="0" fontId="7" fillId="4" borderId="0" xfId="0" applyFont="1" applyFill="1" applyAlignment="1">
      <alignment horizontal="center"/>
    </xf>
    <xf numFmtId="3" fontId="12" fillId="2" borderId="0" xfId="0" applyNumberFormat="1" applyFont="1" applyFill="1" applyAlignment="1">
      <alignment horizontal="center"/>
    </xf>
    <xf numFmtId="3" fontId="0" fillId="4" borderId="0" xfId="0" applyNumberFormat="1" applyFill="1" applyAlignment="1">
      <alignment horizontal="center"/>
    </xf>
    <xf numFmtId="0" fontId="1" fillId="4" borderId="0" xfId="0" applyFont="1" applyFill="1" applyAlignment="1">
      <alignment horizontal="left"/>
    </xf>
    <xf numFmtId="0" fontId="0" fillId="5" borderId="0" xfId="0" applyFill="1" applyAlignment="1">
      <alignment horizontal="center"/>
    </xf>
  </cellXfs>
  <cellStyles count="4">
    <cellStyle name="Komma" xfId="1" builtinId="3"/>
    <cellStyle name="Link" xfId="3" builtinId="8"/>
    <cellStyle name="Prozent" xfId="2" builtinId="5"/>
    <cellStyle name="Standard" xfId="0" builtinId="0"/>
  </cellStyles>
  <dxfs count="22"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249022</xdr:colOff>
      <xdr:row>16</xdr:row>
      <xdr:rowOff>55411</xdr:rowOff>
    </xdr:from>
    <xdr:to>
      <xdr:col>12</xdr:col>
      <xdr:colOff>44823</xdr:colOff>
      <xdr:row>23</xdr:row>
      <xdr:rowOff>295811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4287" y="3080999"/>
          <a:ext cx="4726389" cy="14954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74543</xdr:colOff>
      <xdr:row>43</xdr:row>
      <xdr:rowOff>182218</xdr:rowOff>
    </xdr:from>
    <xdr:to>
      <xdr:col>8</xdr:col>
      <xdr:colOff>3346174</xdr:colOff>
      <xdr:row>62</xdr:row>
      <xdr:rowOff>149087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53C09CC6-4650-9210-484E-07BB0CCE3850}"/>
            </a:ext>
          </a:extLst>
        </xdr:cNvPr>
        <xdr:cNvSpPr txBox="1"/>
      </xdr:nvSpPr>
      <xdr:spPr>
        <a:xfrm>
          <a:off x="7379804" y="8473109"/>
          <a:ext cx="4944718" cy="38762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/>
            <a:t>Sub BestimmteBlätterSchützen()</a:t>
          </a:r>
        </a:p>
        <a:p>
          <a:r>
            <a:rPr lang="de-CH"/>
            <a:t>    Dim ws As Worksheet</a:t>
          </a:r>
        </a:p>
        <a:p>
          <a:r>
            <a:rPr lang="de-CH"/>
            <a:t>    Dim password As String</a:t>
          </a:r>
        </a:p>
        <a:p>
          <a:r>
            <a:rPr lang="de-CH"/>
            <a:t>    password = InputBox("Bitte gib das Passwort ein, um die Blätter zu schützen:")</a:t>
          </a:r>
        </a:p>
        <a:p>
          <a:r>
            <a:rPr lang="de-CH"/>
            <a:t>    </a:t>
          </a:r>
        </a:p>
        <a:p>
          <a:r>
            <a:rPr lang="de-CH"/>
            <a:t>    ' Überprüfen, ob ein Passwort eingegeben wurde</a:t>
          </a:r>
        </a:p>
        <a:p>
          <a:r>
            <a:rPr lang="de-CH"/>
            <a:t>    If password = "" Then</a:t>
          </a:r>
        </a:p>
        <a:p>
          <a:r>
            <a:rPr lang="de-CH"/>
            <a:t>        MsgBox "Kein Passwort eingegeben. Abbruch."</a:t>
          </a:r>
        </a:p>
        <a:p>
          <a:r>
            <a:rPr lang="de-CH"/>
            <a:t>        Exit Sub</a:t>
          </a:r>
        </a:p>
        <a:p>
          <a:r>
            <a:rPr lang="de-CH"/>
            <a:t>    End If</a:t>
          </a:r>
        </a:p>
        <a:p>
          <a:r>
            <a:rPr lang="de-CH"/>
            <a:t>    </a:t>
          </a:r>
        </a:p>
        <a:p>
          <a:r>
            <a:rPr lang="de-CH"/>
            <a:t>    ' Liste der zu schützenden Blätter</a:t>
          </a:r>
        </a:p>
        <a:p>
          <a:r>
            <a:rPr lang="de-CH"/>
            <a:t>    Dim i As Integer</a:t>
          </a:r>
        </a:p>
        <a:p>
          <a:r>
            <a:rPr lang="de-CH"/>
            <a:t>    For i = 1 To 20</a:t>
          </a:r>
        </a:p>
        <a:p>
          <a:r>
            <a:rPr lang="de-CH"/>
            <a:t>        On Error Resume Next ' Vermeidung von Fehlern, falls ein Blatt nicht existiert</a:t>
          </a:r>
        </a:p>
        <a:p>
          <a:r>
            <a:rPr lang="de-CH"/>
            <a:t>        Set ws = ThisWorkbook.Sheets("pos" &amp; i)</a:t>
          </a:r>
        </a:p>
        <a:p>
          <a:r>
            <a:rPr lang="de-CH"/>
            <a:t>        If Not ws Is Nothing Then</a:t>
          </a:r>
        </a:p>
        <a:p>
          <a:r>
            <a:rPr lang="de-CH"/>
            <a:t>            ws.Unprotect ' Zuerst den Schutz aufheben, falls bereits geschützt</a:t>
          </a:r>
        </a:p>
        <a:p>
          <a:r>
            <a:rPr lang="de-CH"/>
            <a:t>            ws.Protect password:=password</a:t>
          </a:r>
        </a:p>
        <a:p>
          <a:r>
            <a:rPr lang="de-CH"/>
            <a:t>        End If</a:t>
          </a:r>
        </a:p>
        <a:p>
          <a:r>
            <a:rPr lang="de-CH"/>
            <a:t>    Next i</a:t>
          </a:r>
        </a:p>
        <a:p>
          <a:r>
            <a:rPr lang="de-CH"/>
            <a:t>End Sub</a:t>
          </a:r>
        </a:p>
      </xdr:txBody>
    </xdr:sp>
    <xdr:clientData/>
  </xdr:twoCellAnchor>
  <xdr:twoCellAnchor>
    <xdr:from>
      <xdr:col>9</xdr:col>
      <xdr:colOff>869672</xdr:colOff>
      <xdr:row>44</xdr:row>
      <xdr:rowOff>91109</xdr:rowOff>
    </xdr:from>
    <xdr:to>
      <xdr:col>11</xdr:col>
      <xdr:colOff>57977</xdr:colOff>
      <xdr:row>65</xdr:row>
      <xdr:rowOff>173935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7B7C70F5-882C-965C-BBB0-ACFFE047E6DA}"/>
            </a:ext>
          </a:extLst>
        </xdr:cNvPr>
        <xdr:cNvSpPr txBox="1"/>
      </xdr:nvSpPr>
      <xdr:spPr>
        <a:xfrm>
          <a:off x="13409542" y="8572500"/>
          <a:ext cx="4414631" cy="43649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Sub BestimmteBlätterSchutzAufheben()</a:t>
          </a:r>
        </a:p>
        <a:p>
          <a:r>
            <a:rPr lang="de-CH" sz="1100"/>
            <a:t>    Dim ws As Worksheet</a:t>
          </a:r>
        </a:p>
        <a:p>
          <a:r>
            <a:rPr lang="de-CH" sz="1100"/>
            <a:t>    Dim password As String</a:t>
          </a:r>
        </a:p>
        <a:p>
          <a:r>
            <a:rPr lang="de-CH" sz="1100"/>
            <a:t>    password = InputBox("Bitte gib das Passwort ein, um den Schutz der Blätter aufzuheben:")</a:t>
          </a:r>
        </a:p>
        <a:p>
          <a:r>
            <a:rPr lang="de-CH" sz="1100"/>
            <a:t>    </a:t>
          </a:r>
        </a:p>
        <a:p>
          <a:r>
            <a:rPr lang="de-CH" sz="1100"/>
            <a:t>    ' Überprüfen, ob ein Passwort eingegeben wurde</a:t>
          </a:r>
        </a:p>
        <a:p>
          <a:r>
            <a:rPr lang="de-CH" sz="1100"/>
            <a:t>    If password = "" Then</a:t>
          </a:r>
        </a:p>
        <a:p>
          <a:r>
            <a:rPr lang="de-CH" sz="1100"/>
            <a:t>        MsgBox "Kein Passwort eingegeben. Abbruch."</a:t>
          </a:r>
        </a:p>
        <a:p>
          <a:r>
            <a:rPr lang="de-CH" sz="1100"/>
            <a:t>        Exit Sub</a:t>
          </a:r>
        </a:p>
        <a:p>
          <a:r>
            <a:rPr lang="de-CH" sz="1100"/>
            <a:t>    End If</a:t>
          </a:r>
        </a:p>
        <a:p>
          <a:r>
            <a:rPr lang="de-CH" sz="1100"/>
            <a:t>    </a:t>
          </a:r>
        </a:p>
        <a:p>
          <a:r>
            <a:rPr lang="de-CH" sz="1100"/>
            <a:t>    ' Liste der zu schützenden Blätter</a:t>
          </a:r>
        </a:p>
        <a:p>
          <a:r>
            <a:rPr lang="de-CH" sz="1100"/>
            <a:t>    Dim i As Integer</a:t>
          </a:r>
        </a:p>
        <a:p>
          <a:r>
            <a:rPr lang="de-CH" sz="1100"/>
            <a:t>    For i = 1 To 20</a:t>
          </a:r>
        </a:p>
        <a:p>
          <a:r>
            <a:rPr lang="de-CH" sz="1100"/>
            <a:t>        On Error Resume Next ' Vermeidung von Fehlern, falls ein Blatt nicht existiert</a:t>
          </a:r>
        </a:p>
        <a:p>
          <a:r>
            <a:rPr lang="de-CH" sz="1100"/>
            <a:t>        Set ws = ThisWorkbook.Sheets("pos" &amp; i)</a:t>
          </a:r>
        </a:p>
        <a:p>
          <a:r>
            <a:rPr lang="de-CH" sz="1100"/>
            <a:t>        If Not ws Is Nothing Then</a:t>
          </a:r>
        </a:p>
        <a:p>
          <a:r>
            <a:rPr lang="de-CH" sz="1100"/>
            <a:t>            ws.Unprotect password:=password</a:t>
          </a:r>
        </a:p>
        <a:p>
          <a:r>
            <a:rPr lang="de-CH" sz="1100"/>
            <a:t>        End If</a:t>
          </a:r>
        </a:p>
        <a:p>
          <a:r>
            <a:rPr lang="de-CH" sz="1100"/>
            <a:t>    Next i</a:t>
          </a:r>
        </a:p>
        <a:p>
          <a:r>
            <a:rPr lang="de-CH" sz="1100"/>
            <a:t>End Sub</a:t>
          </a:r>
        </a:p>
      </xdr:txBody>
    </xdr:sp>
    <xdr:clientData/>
  </xdr:twoCellAnchor>
  <xdr:twoCellAnchor>
    <xdr:from>
      <xdr:col>11</xdr:col>
      <xdr:colOff>430695</xdr:colOff>
      <xdr:row>44</xdr:row>
      <xdr:rowOff>157370</xdr:rowOff>
    </xdr:from>
    <xdr:to>
      <xdr:col>14</xdr:col>
      <xdr:colOff>662609</xdr:colOff>
      <xdr:row>63</xdr:row>
      <xdr:rowOff>8283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1216B837-38E9-BB72-B14E-30C2011862B3}"/>
            </a:ext>
          </a:extLst>
        </xdr:cNvPr>
        <xdr:cNvSpPr txBox="1"/>
      </xdr:nvSpPr>
      <xdr:spPr>
        <a:xfrm>
          <a:off x="18196891" y="8638761"/>
          <a:ext cx="2741544" cy="37520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Sub VersteckeAlleBlätterAußerBestimmtes()</a:t>
          </a:r>
        </a:p>
        <a:p>
          <a:r>
            <a:rPr lang="de-CH" sz="1100"/>
            <a:t>    Dim ws As Worksheet</a:t>
          </a:r>
        </a:p>
        <a:p>
          <a:r>
            <a:rPr lang="de-CH" sz="1100"/>
            <a:t>    Dim Blattname As String</a:t>
          </a:r>
        </a:p>
        <a:p>
          <a:r>
            <a:rPr lang="de-CH" sz="1100"/>
            <a:t>    Blattname = "Bestellung Commande"</a:t>
          </a:r>
        </a:p>
        <a:p>
          <a:r>
            <a:rPr lang="de-CH" sz="1100"/>
            <a:t>    </a:t>
          </a:r>
        </a:p>
        <a:p>
          <a:r>
            <a:rPr lang="de-CH" sz="1100"/>
            <a:t>    For Each ws In ThisWorkbook.Worksheets</a:t>
          </a:r>
        </a:p>
        <a:p>
          <a:r>
            <a:rPr lang="de-CH" sz="1100"/>
            <a:t>        If ws.Name &lt;&gt; Blattname Then</a:t>
          </a:r>
        </a:p>
        <a:p>
          <a:r>
            <a:rPr lang="de-CH" sz="1100"/>
            <a:t>            ws.Visible = xlSheetHidden</a:t>
          </a:r>
        </a:p>
        <a:p>
          <a:r>
            <a:rPr lang="de-CH" sz="1100"/>
            <a:t>        Else</a:t>
          </a:r>
        </a:p>
        <a:p>
          <a:r>
            <a:rPr lang="de-CH" sz="1100"/>
            <a:t>            ws.Visible = xlSheetVisible</a:t>
          </a:r>
        </a:p>
        <a:p>
          <a:r>
            <a:rPr lang="de-CH" sz="1100"/>
            <a:t>        End If</a:t>
          </a:r>
        </a:p>
        <a:p>
          <a:r>
            <a:rPr lang="de-CH" sz="1100"/>
            <a:t>    Next ws</a:t>
          </a:r>
        </a:p>
        <a:p>
          <a:r>
            <a:rPr lang="de-CH" sz="1100"/>
            <a:t>End Sub</a:t>
          </a:r>
        </a:p>
        <a:p>
          <a:endParaRPr lang="de-CH" sz="1100"/>
        </a:p>
      </xdr:txBody>
    </xdr:sp>
    <xdr:clientData/>
  </xdr:twoCellAnchor>
  <xdr:twoCellAnchor>
    <xdr:from>
      <xdr:col>1</xdr:col>
      <xdr:colOff>794302</xdr:colOff>
      <xdr:row>45</xdr:row>
      <xdr:rowOff>176833</xdr:rowOff>
    </xdr:from>
    <xdr:to>
      <xdr:col>3</xdr:col>
      <xdr:colOff>645215</xdr:colOff>
      <xdr:row>65</xdr:row>
      <xdr:rowOff>127137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390A28E0-5C97-67E3-AEF1-340C70B2C79E}"/>
            </a:ext>
          </a:extLst>
        </xdr:cNvPr>
        <xdr:cNvSpPr txBox="1"/>
      </xdr:nvSpPr>
      <xdr:spPr>
        <a:xfrm>
          <a:off x="1632502" y="8825533"/>
          <a:ext cx="3813313" cy="36841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Sub BlattschutzAufhebenMitPasswort()</a:t>
          </a:r>
        </a:p>
        <a:p>
          <a:r>
            <a:rPr lang="de-CH" sz="1100"/>
            <a:t>    Dim ws As Worksheet</a:t>
          </a:r>
        </a:p>
        <a:p>
          <a:r>
            <a:rPr lang="de-CH" sz="1100"/>
            <a:t>    Dim eingabePasswort As String</a:t>
          </a:r>
        </a:p>
        <a:p>
          <a:r>
            <a:rPr lang="de-CH" sz="1100"/>
            <a:t>    </a:t>
          </a:r>
        </a:p>
        <a:p>
          <a:r>
            <a:rPr lang="de-CH" sz="1100"/>
            <a:t>    ' Aufforderung an den Benutzer, ein Passwort einzugeben</a:t>
          </a:r>
        </a:p>
        <a:p>
          <a:r>
            <a:rPr lang="de-CH" sz="1100"/>
            <a:t>    eingabePasswort = InputBox("Bitte gib das Passwort ein, um den Blattschutz aufzuheben:")</a:t>
          </a:r>
        </a:p>
        <a:p>
          <a:r>
            <a:rPr lang="de-CH" sz="1100"/>
            <a:t>    </a:t>
          </a:r>
        </a:p>
        <a:p>
          <a:r>
            <a:rPr lang="de-CH" sz="1100"/>
            <a:t>    ' Schleife durch alle Tabellenblätter und hebe den Schutz auf</a:t>
          </a:r>
        </a:p>
        <a:p>
          <a:r>
            <a:rPr lang="de-CH" sz="1100"/>
            <a:t>    For Each ws In ThisWorkbook.Worksheets</a:t>
          </a:r>
        </a:p>
        <a:p>
          <a:r>
            <a:rPr lang="de-CH" sz="1100"/>
            <a:t>        On Error Resume Next ' Verhindert Fehler, wenn das Passwort falsch ist</a:t>
          </a:r>
        </a:p>
        <a:p>
          <a:r>
            <a:rPr lang="de-CH" sz="1100"/>
            <a:t>        ws.Unprotect Password:=eingabePasswort</a:t>
          </a:r>
        </a:p>
        <a:p>
          <a:r>
            <a:rPr lang="de-CH" sz="1100"/>
            <a:t>        On Error GoTo 0 ' Setzt die Fehlerbehandlung wieder zurück</a:t>
          </a:r>
        </a:p>
        <a:p>
          <a:r>
            <a:rPr lang="de-CH" sz="1100"/>
            <a:t>    Next ws</a:t>
          </a:r>
        </a:p>
        <a:p>
          <a:r>
            <a:rPr lang="de-CH" sz="1100"/>
            <a:t>End Sub</a:t>
          </a:r>
        </a:p>
        <a:p>
          <a:endParaRPr lang="de-CH" sz="1100"/>
        </a:p>
        <a:p>
          <a:endParaRPr lang="de-CH" sz="1100"/>
        </a:p>
      </xdr:txBody>
    </xdr:sp>
    <xdr:clientData/>
  </xdr:twoCellAnchor>
  <xdr:twoCellAnchor>
    <xdr:from>
      <xdr:col>1</xdr:col>
      <xdr:colOff>771525</xdr:colOff>
      <xdr:row>29</xdr:row>
      <xdr:rowOff>171450</xdr:rowOff>
    </xdr:from>
    <xdr:to>
      <xdr:col>3</xdr:col>
      <xdr:colOff>361950</xdr:colOff>
      <xdr:row>45</xdr:row>
      <xdr:rowOff>76200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29CDD7D5-4043-0C41-E180-FD1D933E3A4E}"/>
            </a:ext>
          </a:extLst>
        </xdr:cNvPr>
        <xdr:cNvSpPr txBox="1"/>
      </xdr:nvSpPr>
      <xdr:spPr>
        <a:xfrm>
          <a:off x="1609725" y="5762625"/>
          <a:ext cx="3552825" cy="2962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Sub BlattschutzSetzenMitPasswort()</a:t>
          </a:r>
        </a:p>
        <a:p>
          <a:r>
            <a:rPr lang="de-CH" sz="1100"/>
            <a:t>    Dim ws As Worksheet</a:t>
          </a:r>
        </a:p>
        <a:p>
          <a:r>
            <a:rPr lang="de-CH" sz="1100"/>
            <a:t>    Dim eingabePasswort As String</a:t>
          </a:r>
        </a:p>
        <a:p>
          <a:r>
            <a:rPr lang="de-CH" sz="1100"/>
            <a:t>    </a:t>
          </a:r>
        </a:p>
        <a:p>
          <a:r>
            <a:rPr lang="de-CH" sz="1100"/>
            <a:t>    ' Aufforderung an den Benutzer, ein Passwort einzugeben</a:t>
          </a:r>
        </a:p>
        <a:p>
          <a:r>
            <a:rPr lang="de-CH" sz="1100"/>
            <a:t>    eingabePasswort = InputBox("Bitte gib ein Passwort ein, um alle Blätter zu schützen:")</a:t>
          </a:r>
        </a:p>
        <a:p>
          <a:r>
            <a:rPr lang="de-CH" sz="1100"/>
            <a:t>    </a:t>
          </a:r>
        </a:p>
        <a:p>
          <a:r>
            <a:rPr lang="de-CH" sz="1100"/>
            <a:t>    ' Schleife durch alle Tabellenblätter und setze den Schutz</a:t>
          </a:r>
        </a:p>
        <a:p>
          <a:r>
            <a:rPr lang="de-CH" sz="1100"/>
            <a:t>    For Each ws In ThisWorkbook.Worksheets</a:t>
          </a:r>
        </a:p>
        <a:p>
          <a:r>
            <a:rPr lang="de-CH" sz="1100"/>
            <a:t>        ws.Protect password:=eingabePasswort</a:t>
          </a:r>
        </a:p>
        <a:p>
          <a:r>
            <a:rPr lang="de-CH" sz="1100"/>
            <a:t>    Next ws</a:t>
          </a:r>
        </a:p>
        <a:p>
          <a:r>
            <a:rPr lang="de-CH" sz="1100"/>
            <a:t>End Sub</a:t>
          </a:r>
        </a:p>
        <a:p>
          <a:endParaRPr lang="de-CH" sz="1100"/>
        </a:p>
        <a:p>
          <a:endParaRPr lang="de-CH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jansengroup-my.sharepoint.com/personal/marcel_hurni_jansen_com/Documents/JAG_NS/Bresga%20Fenster%2026783%20_1von2.xlsx" TargetMode="External"/><Relationship Id="rId1" Type="http://schemas.openxmlformats.org/officeDocument/2006/relationships/externalLinkPath" Target="https://jansengroup-my.sharepoint.com/personal/marcel_hurni_jansen_com/Documents/JAG_NS/Bresga%20Fenster%2026783%20_1von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stellung Commande"/>
      <sheetName val="Pos1"/>
      <sheetName val="Pos2"/>
      <sheetName val="Pos3"/>
      <sheetName val="Pos4"/>
      <sheetName val="Pos5"/>
      <sheetName val="Zusammenzug"/>
      <sheetName val="DAT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4">
          <cell r="D14">
            <v>300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D1C28-5BF5-4268-A68F-ADB713A24B37}">
  <sheetPr codeName="Tabelle2"/>
  <dimension ref="A1:Q125"/>
  <sheetViews>
    <sheetView tabSelected="1" view="pageBreakPreview" topLeftCell="A56" zoomScale="130" zoomScaleNormal="100" zoomScaleSheetLayoutView="130" workbookViewId="0">
      <selection activeCell="A68" sqref="A68"/>
    </sheetView>
  </sheetViews>
  <sheetFormatPr baseColWidth="10" defaultColWidth="11" defaultRowHeight="14.25" x14ac:dyDescent="0.2"/>
  <cols>
    <col min="1" max="1" width="6.125" style="9" customWidth="1"/>
    <col min="2" max="2" width="5.375" style="9" customWidth="1"/>
    <col min="3" max="4" width="3.5" style="9" customWidth="1"/>
    <col min="5" max="5" width="6.75" customWidth="1"/>
    <col min="6" max="6" width="6.5" customWidth="1"/>
    <col min="7" max="8" width="8.5" customWidth="1"/>
    <col min="9" max="9" width="6.625" style="9" customWidth="1"/>
    <col min="10" max="10" width="7.25" style="9" customWidth="1"/>
    <col min="11" max="14" width="6.75" style="9" customWidth="1"/>
    <col min="15" max="15" width="8.5" style="9" customWidth="1"/>
    <col min="16" max="16" width="15.125" style="12" customWidth="1"/>
    <col min="17" max="17" width="25" style="12" customWidth="1"/>
  </cols>
  <sheetData>
    <row r="1" spans="1:17" s="9" customFormat="1" ht="15" x14ac:dyDescent="0.25">
      <c r="A1" s="193" t="s">
        <v>0</v>
      </c>
      <c r="B1" s="194"/>
      <c r="C1" s="194"/>
      <c r="D1" s="194"/>
      <c r="E1" s="194"/>
      <c r="F1" s="194"/>
      <c r="G1" s="195"/>
      <c r="H1" s="161" t="s">
        <v>1</v>
      </c>
      <c r="I1" s="162"/>
      <c r="J1" s="162"/>
      <c r="K1" s="162"/>
      <c r="L1" s="162"/>
      <c r="M1" s="162"/>
      <c r="N1" s="162"/>
      <c r="O1" s="162"/>
      <c r="P1" s="12"/>
      <c r="Q1" s="12"/>
    </row>
    <row r="2" spans="1:17" s="9" customFormat="1" ht="15" x14ac:dyDescent="0.25">
      <c r="A2" s="165" t="str">
        <f>VLOOKUP(DATEN!I2,DATEN!$I$1:$J$39,IF($L$2="Deutsch", 1, 2),FALSE)</f>
        <v>Kunde Name:</v>
      </c>
      <c r="B2" s="166"/>
      <c r="C2" s="168"/>
      <c r="D2" s="168"/>
      <c r="E2" s="168"/>
      <c r="F2" s="168"/>
      <c r="G2" s="169"/>
      <c r="H2" s="165" t="s">
        <v>2</v>
      </c>
      <c r="I2" s="166"/>
      <c r="J2" s="166"/>
      <c r="K2" s="167"/>
      <c r="L2" s="168" t="s">
        <v>3</v>
      </c>
      <c r="M2" s="168"/>
      <c r="N2" s="168"/>
      <c r="O2" s="169"/>
      <c r="P2" s="12"/>
      <c r="Q2" s="12"/>
    </row>
    <row r="3" spans="1:17" s="9" customFormat="1" ht="15" x14ac:dyDescent="0.25">
      <c r="A3" s="165" t="str">
        <f>VLOOKUP(DATEN!I3,DATEN!$I$1:$J$39,IF($L$2="Deutsch", 1, 2),FALSE)</f>
        <v>Kontaktperson:</v>
      </c>
      <c r="B3" s="166"/>
      <c r="C3" s="168"/>
      <c r="D3" s="168"/>
      <c r="E3" s="168"/>
      <c r="F3" s="168"/>
      <c r="G3" s="169"/>
      <c r="H3" s="165" t="str">
        <f>VLOOKUP(DATEN!I9,DATEN!$I$1:$J$39,IF($L$2="Deutsch", 1, 2),FALSE)</f>
        <v>Bestelldatum:</v>
      </c>
      <c r="I3" s="166"/>
      <c r="J3" s="166"/>
      <c r="K3" s="167"/>
      <c r="L3" s="177"/>
      <c r="M3" s="177"/>
      <c r="N3" s="177"/>
      <c r="O3" s="178"/>
      <c r="P3" s="12"/>
      <c r="Q3" s="12"/>
    </row>
    <row r="4" spans="1:17" s="9" customFormat="1" ht="15" customHeight="1" x14ac:dyDescent="0.25">
      <c r="A4" s="165" t="str">
        <f>VLOOKUP(DATEN!I4,DATEN!$I$1:$J$39,IF($L$2="Deutsch", 1, 2),FALSE)</f>
        <v>Kommision:</v>
      </c>
      <c r="B4" s="166"/>
      <c r="C4" s="168"/>
      <c r="D4" s="168"/>
      <c r="E4" s="168"/>
      <c r="F4" s="168"/>
      <c r="G4" s="169"/>
      <c r="H4" s="165" t="str">
        <f>VLOOKUP(DATEN!I10,DATEN!$I$1:$J$39,IF($L$2="Deutsch", 1, 2),FALSE)</f>
        <v>Wunsch Liefertermin:</v>
      </c>
      <c r="I4" s="166"/>
      <c r="J4" s="166"/>
      <c r="K4" s="167"/>
      <c r="L4" s="177"/>
      <c r="M4" s="177"/>
      <c r="N4" s="177"/>
      <c r="O4" s="178"/>
      <c r="P4" s="12"/>
      <c r="Q4" s="12"/>
    </row>
    <row r="5" spans="1:17" s="9" customFormat="1" ht="15" x14ac:dyDescent="0.25">
      <c r="A5" s="165" t="str">
        <f>VLOOKUP(DATEN!I5,DATEN!$I$1:$J$39,IF($L$2="Deutsch", 1, 2),FALSE)</f>
        <v>Kontakt Telefon:</v>
      </c>
      <c r="B5" s="166"/>
      <c r="C5" s="168"/>
      <c r="D5" s="168"/>
      <c r="E5" s="168"/>
      <c r="F5" s="168"/>
      <c r="G5" s="169"/>
      <c r="H5" s="163" t="str">
        <f>VLOOKUP(DATEN!I11,DATEN!$I$1:$J$39,IF($L$2="Deutsch", 1, 2),FALSE)</f>
        <v>Bemerkung:</v>
      </c>
      <c r="I5" s="164"/>
      <c r="J5" s="164"/>
      <c r="K5" s="164"/>
      <c r="L5" s="164"/>
      <c r="M5" s="164"/>
      <c r="N5" s="164"/>
      <c r="O5" s="164"/>
      <c r="P5" s="12"/>
      <c r="Q5" s="12"/>
    </row>
    <row r="6" spans="1:17" s="9" customFormat="1" ht="15" x14ac:dyDescent="0.25">
      <c r="A6" s="165" t="s">
        <v>292</v>
      </c>
      <c r="B6" s="166"/>
      <c r="C6" s="198"/>
      <c r="D6" s="198"/>
      <c r="E6" s="168"/>
      <c r="F6" s="168"/>
      <c r="G6" s="169"/>
      <c r="H6" s="172"/>
      <c r="I6" s="172"/>
      <c r="J6" s="172"/>
      <c r="K6" s="172"/>
      <c r="L6" s="172"/>
      <c r="M6" s="172"/>
      <c r="N6" s="172"/>
      <c r="O6" s="172"/>
      <c r="P6" s="12"/>
      <c r="Q6" s="12"/>
    </row>
    <row r="7" spans="1:17" s="9" customFormat="1" ht="15" x14ac:dyDescent="0.25">
      <c r="A7" s="164" t="s">
        <v>4</v>
      </c>
      <c r="B7" s="164"/>
      <c r="C7" s="164"/>
      <c r="D7" s="164"/>
      <c r="E7" s="164"/>
      <c r="F7" s="164"/>
      <c r="G7" s="164"/>
      <c r="H7" s="172"/>
      <c r="I7" s="172"/>
      <c r="J7" s="172"/>
      <c r="K7" s="172"/>
      <c r="L7" s="172"/>
      <c r="M7" s="172"/>
      <c r="N7" s="172"/>
      <c r="O7" s="172"/>
      <c r="P7" s="12"/>
      <c r="Q7" s="12"/>
    </row>
    <row r="8" spans="1:17" s="9" customFormat="1" ht="15" x14ac:dyDescent="0.25">
      <c r="A8" s="165" t="str">
        <f>VLOOKUP(DATEN!I6,DATEN!$I$1:$J$39,IF($L$2="Deutsch", 1, 2),FALSE)</f>
        <v>Strasse:</v>
      </c>
      <c r="B8" s="167"/>
      <c r="C8" s="168"/>
      <c r="D8" s="168"/>
      <c r="E8" s="168"/>
      <c r="F8" s="168"/>
      <c r="G8" s="169"/>
      <c r="H8" s="172"/>
      <c r="I8" s="172"/>
      <c r="J8" s="172"/>
      <c r="K8" s="172"/>
      <c r="L8" s="172"/>
      <c r="M8" s="172"/>
      <c r="N8" s="172"/>
      <c r="O8" s="172"/>
      <c r="P8" s="12"/>
      <c r="Q8" s="12"/>
    </row>
    <row r="9" spans="1:17" s="9" customFormat="1" ht="15" x14ac:dyDescent="0.25">
      <c r="A9" s="165" t="str">
        <f>VLOOKUP(DATEN!I7,DATEN!$I$1:$J$39,IF($L$2="Deutsch", 1, 2),FALSE)</f>
        <v>PLZ Ort:</v>
      </c>
      <c r="B9" s="167"/>
      <c r="C9" s="168"/>
      <c r="D9" s="168"/>
      <c r="E9" s="168"/>
      <c r="F9" s="168"/>
      <c r="G9" s="169"/>
      <c r="H9" s="172"/>
      <c r="I9" s="172"/>
      <c r="J9" s="172"/>
      <c r="K9" s="172"/>
      <c r="L9" s="172"/>
      <c r="M9" s="172"/>
      <c r="N9" s="172"/>
      <c r="O9" s="172"/>
      <c r="P9" s="12"/>
      <c r="Q9" s="12"/>
    </row>
    <row r="10" spans="1:17" s="9" customFormat="1" ht="15" x14ac:dyDescent="0.25">
      <c r="A10" s="165"/>
      <c r="B10" s="167"/>
      <c r="C10" s="168"/>
      <c r="D10" s="168"/>
      <c r="E10" s="168"/>
      <c r="F10" s="168"/>
      <c r="G10" s="169"/>
      <c r="H10" s="173"/>
      <c r="I10" s="173"/>
      <c r="J10" s="173"/>
      <c r="K10" s="173"/>
      <c r="L10" s="173"/>
      <c r="M10" s="173"/>
      <c r="N10" s="173"/>
      <c r="O10" s="173"/>
      <c r="P10" s="12"/>
      <c r="Q10" s="12"/>
    </row>
    <row r="11" spans="1:17" s="9" customFormat="1" ht="15" x14ac:dyDescent="0.25">
      <c r="A11" s="197" t="s">
        <v>5</v>
      </c>
      <c r="B11" s="197"/>
      <c r="C11" s="197"/>
      <c r="D11" s="197"/>
      <c r="E11" s="197"/>
      <c r="F11" s="197"/>
      <c r="G11" s="197"/>
      <c r="H11" s="163" t="s">
        <v>288</v>
      </c>
      <c r="I11" s="164"/>
      <c r="J11" s="164"/>
      <c r="K11" s="164"/>
      <c r="L11" s="164"/>
      <c r="M11" s="164"/>
      <c r="N11" s="164"/>
      <c r="O11" s="164"/>
      <c r="P11" s="12"/>
      <c r="Q11" s="12"/>
    </row>
    <row r="12" spans="1:17" s="9" customFormat="1" ht="15" x14ac:dyDescent="0.25">
      <c r="A12" s="165" t="str">
        <f>VLOOKUP(DATEN!I6,DATEN!$I$1:$J$39,IF($L$2="Deutsch", 1, 2),FALSE)</f>
        <v>Strasse:</v>
      </c>
      <c r="B12" s="167"/>
      <c r="C12" s="168"/>
      <c r="D12" s="168"/>
      <c r="E12" s="168"/>
      <c r="F12" s="168"/>
      <c r="G12" s="169"/>
      <c r="H12" s="170" t="str">
        <f>VLOOKUP(DATEN!I12,DATEN!$I$1:$J$39,IF($L$2="Deutsch", 1, 2),FALSE)</f>
        <v>Bitte ganzes Excelfile senden an: Connex@jansen.com</v>
      </c>
      <c r="I12" s="171"/>
      <c r="J12" s="171"/>
      <c r="K12" s="171"/>
      <c r="L12" s="171"/>
      <c r="M12" s="171"/>
      <c r="N12" s="171"/>
      <c r="O12" s="171"/>
      <c r="P12" s="12"/>
      <c r="Q12" s="12"/>
    </row>
    <row r="13" spans="1:17" s="9" customFormat="1" ht="15" x14ac:dyDescent="0.25">
      <c r="A13" s="165" t="str">
        <f>VLOOKUP(DATEN!I7,DATEN!$I$1:$J$39,IF($L$2="Deutsch", 1, 2),FALSE)</f>
        <v>PLZ Ort:</v>
      </c>
      <c r="B13" s="167"/>
      <c r="C13" s="168"/>
      <c r="D13" s="168"/>
      <c r="E13" s="168"/>
      <c r="F13" s="168"/>
      <c r="G13" s="169"/>
      <c r="H13" s="165" t="str">
        <f>VLOOKUP(DATEN!I26,DATEN!$I$1:$J$39,IF($L$2="Deutsch", 1, 2),FALSE)</f>
        <v>Kontakt JAG</v>
      </c>
      <c r="I13" s="167"/>
      <c r="J13" s="11"/>
      <c r="K13" s="179"/>
      <c r="L13" s="179"/>
      <c r="M13" s="179"/>
      <c r="N13" s="179"/>
      <c r="O13" s="179"/>
      <c r="P13" s="12"/>
      <c r="Q13" s="12"/>
    </row>
    <row r="14" spans="1:17" ht="15" x14ac:dyDescent="0.25">
      <c r="A14" s="165" t="str">
        <f>VLOOKUP(DATEN!I8,DATEN!$I$1:$J$39,IF($L$2="Deutsch", 1, 2),FALSE)</f>
        <v>Kontakt:</v>
      </c>
      <c r="B14" s="167"/>
      <c r="C14" s="168"/>
      <c r="D14" s="168"/>
      <c r="E14" s="168"/>
      <c r="F14" s="168"/>
      <c r="G14" s="169"/>
      <c r="H14" s="13"/>
      <c r="I14" s="13"/>
      <c r="J14" s="13"/>
      <c r="K14" s="13"/>
      <c r="L14" s="13"/>
      <c r="M14" s="13"/>
      <c r="N14" s="13"/>
      <c r="O14" s="13"/>
    </row>
    <row r="15" spans="1:17" ht="14.25" customHeight="1" x14ac:dyDescent="0.2">
      <c r="A15" s="196" t="str">
        <f>VLOOKUP(DATEN!I32,DATEN!$I$1:$J$39,IF($L$2="Deutsch", 1, 2),FALSE)</f>
        <v xml:space="preserve">Technische Bestellung 0-Schwelle 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</row>
    <row r="16" spans="1:17" ht="14.25" customHeight="1" x14ac:dyDescent="0.2">
      <c r="A16" s="196"/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</row>
    <row r="17" spans="1:17" x14ac:dyDescent="0.2">
      <c r="C17"/>
      <c r="D17"/>
    </row>
    <row r="23" spans="1:17" s="9" customFormat="1" x14ac:dyDescent="0.2">
      <c r="E23"/>
      <c r="F23"/>
      <c r="G23"/>
      <c r="H23"/>
      <c r="P23" s="84"/>
      <c r="Q23" s="12"/>
    </row>
    <row r="24" spans="1:17" ht="30" customHeight="1" thickBot="1" x14ac:dyDescent="0.25">
      <c r="N24" s="38">
        <v>73</v>
      </c>
    </row>
    <row r="25" spans="1:17" s="19" customFormat="1" ht="28.5" customHeight="1" x14ac:dyDescent="0.2">
      <c r="A25" s="176" t="str">
        <f>VLOOKUP(DATEN!$I$25,DATEN!$I$1:$J$39,IF($L$2="Deutsch", 1, 2),FALSE)</f>
        <v>JAG-Pos</v>
      </c>
      <c r="B25" s="191" t="str">
        <f>VLOOKUP(DATEN!I31,DATEN!$I$1:$J$39,IF($L$2="Deutsch",1,2),FALSE)</f>
        <v>Ku-Pos</v>
      </c>
      <c r="C25" s="176" t="str">
        <f>VLOOKUP(DATEN!$I$14,DATEN!$I$1:$J$39,IF($L$2="Deutsch", 1, 2),FALSE)</f>
        <v>Anz.
Flügel</v>
      </c>
      <c r="D25" s="176"/>
      <c r="E25" s="176" t="str">
        <f>VLOOKUP(DATEN!$I$15,DATEN!$I$1:$J$39,IF($L$2="Deutsch", 1, 2),FALSE)</f>
        <v>Stk Schw.</v>
      </c>
      <c r="F25" s="17" t="str">
        <f>VLOOKUP(DATEN!$I$16,DATEN!$I$1:$J$39,IF($L$2="Deutsch", 1, 2),FALSE)</f>
        <v>RA</v>
      </c>
      <c r="G25" s="17" t="str">
        <f>VLOOKUP(DATEN!$I$17,DATEN!$I$1:$J$39,IF($L$2="Deutsch", 1, 2),FALSE)</f>
        <v>RBL 
(min45)</v>
      </c>
      <c r="H25" s="17" t="str">
        <f>VLOOKUP(DATEN!$I$18,DATEN!$I$1:$J$39,IF($L$2="Deutsch", 1, 2),FALSE)</f>
        <v>RBR 
(min45)</v>
      </c>
      <c r="I25" s="17" t="s">
        <v>6</v>
      </c>
      <c r="J25" s="17" t="s">
        <v>297</v>
      </c>
      <c r="K25" s="184" t="str">
        <f>VLOOKUP(DATEN!$I$19,DATEN!$I$1:$J$39,IF($L$2="Deutsch", 1, 2),FALSE)</f>
        <v>Verbreiterungen</v>
      </c>
      <c r="L25" s="185"/>
      <c r="M25" s="185"/>
      <c r="N25" s="185"/>
      <c r="O25" s="18" t="str">
        <f>VLOOKUP(DATEN!I20,DATEN!$I$1:$J$39,IF($L$2="Deutsch",1,2),FALSE)</f>
        <v>Total</v>
      </c>
      <c r="P25" s="12"/>
      <c r="Q25" s="12"/>
    </row>
    <row r="26" spans="1:17" s="19" customFormat="1" ht="15" customHeight="1" thickBot="1" x14ac:dyDescent="0.25">
      <c r="A26" s="190"/>
      <c r="B26" s="192"/>
      <c r="C26" s="17"/>
      <c r="D26" s="17"/>
      <c r="E26" s="176"/>
      <c r="F26" s="17"/>
      <c r="G26" s="17"/>
      <c r="H26" s="17"/>
      <c r="I26" s="17"/>
      <c r="J26" s="17"/>
      <c r="K26" s="40">
        <v>1</v>
      </c>
      <c r="L26" s="17">
        <v>2</v>
      </c>
      <c r="M26" s="17">
        <v>3</v>
      </c>
      <c r="N26" s="17">
        <v>4</v>
      </c>
      <c r="O26" s="24" t="str">
        <f>VLOOKUP(DATEN!$I$21,DATEN!$I$1:$J$39,IF($L$2="Deutsch",1,2),FALSE)</f>
        <v>Höhe</v>
      </c>
      <c r="P26" s="12"/>
      <c r="Q26" s="12"/>
    </row>
    <row r="27" spans="1:17" ht="18" x14ac:dyDescent="0.25">
      <c r="A27" s="186">
        <v>1</v>
      </c>
      <c r="B27" s="147"/>
      <c r="C27" s="180"/>
      <c r="D27" s="180"/>
      <c r="E27" s="147"/>
      <c r="F27" s="147"/>
      <c r="G27" s="147"/>
      <c r="H27" s="147"/>
      <c r="I27" s="148">
        <f>F27-G27-H27</f>
        <v>0</v>
      </c>
      <c r="J27" s="157"/>
      <c r="K27" s="147"/>
      <c r="L27" s="147"/>
      <c r="M27" s="147"/>
      <c r="N27" s="147"/>
      <c r="O27" s="149">
        <f>SUM(K27:N27)+$N$24</f>
        <v>73</v>
      </c>
    </row>
    <row r="28" spans="1:17" ht="18.75" thickBot="1" x14ac:dyDescent="0.3">
      <c r="A28" s="187"/>
      <c r="B28" s="150"/>
      <c r="C28" s="158"/>
      <c r="D28" s="158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2"/>
    </row>
    <row r="29" spans="1:17" ht="20.25" customHeight="1" x14ac:dyDescent="0.25">
      <c r="A29" s="188">
        <v>2</v>
      </c>
      <c r="B29" s="147"/>
      <c r="C29" s="182"/>
      <c r="D29" s="183"/>
      <c r="E29" s="147"/>
      <c r="F29" s="147"/>
      <c r="G29" s="147"/>
      <c r="H29" s="147"/>
      <c r="I29" s="153">
        <f>F29-G29-H29</f>
        <v>0</v>
      </c>
      <c r="J29" s="157"/>
      <c r="K29" s="147"/>
      <c r="L29" s="147"/>
      <c r="M29" s="147"/>
      <c r="N29" s="147"/>
      <c r="O29" s="149">
        <f>SUM(K29:N29)+$N$24</f>
        <v>73</v>
      </c>
    </row>
    <row r="30" spans="1:17" ht="18.75" thickBot="1" x14ac:dyDescent="0.3">
      <c r="A30" s="189"/>
      <c r="B30" s="154"/>
      <c r="C30" s="158"/>
      <c r="D30" s="158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6"/>
    </row>
    <row r="31" spans="1:17" ht="18" x14ac:dyDescent="0.25">
      <c r="A31" s="186">
        <v>3</v>
      </c>
      <c r="B31" s="147"/>
      <c r="C31" s="180"/>
      <c r="D31" s="180"/>
      <c r="E31" s="147"/>
      <c r="F31" s="147"/>
      <c r="G31" s="147"/>
      <c r="H31" s="147"/>
      <c r="I31" s="148">
        <f>F31-G31-H31</f>
        <v>0</v>
      </c>
      <c r="J31" s="157"/>
      <c r="K31" s="147"/>
      <c r="L31" s="147"/>
      <c r="M31" s="147"/>
      <c r="N31" s="147"/>
      <c r="O31" s="149">
        <f>SUM(K31:N31)+$N$24</f>
        <v>73</v>
      </c>
    </row>
    <row r="32" spans="1:17" ht="18.75" thickBot="1" x14ac:dyDescent="0.3">
      <c r="A32" s="187"/>
      <c r="B32" s="150"/>
      <c r="C32" s="158"/>
      <c r="D32" s="158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2"/>
    </row>
    <row r="33" spans="1:15" ht="18" x14ac:dyDescent="0.25">
      <c r="A33" s="188">
        <v>4</v>
      </c>
      <c r="B33" s="147"/>
      <c r="C33" s="180"/>
      <c r="D33" s="180"/>
      <c r="E33" s="147"/>
      <c r="F33" s="147"/>
      <c r="G33" s="147"/>
      <c r="H33" s="147"/>
      <c r="I33" s="153">
        <f>F33-G33-H33</f>
        <v>0</v>
      </c>
      <c r="J33" s="157"/>
      <c r="K33" s="147"/>
      <c r="L33" s="147"/>
      <c r="M33" s="147"/>
      <c r="N33" s="147"/>
      <c r="O33" s="149">
        <f>SUM(K33:N33)+$N$24</f>
        <v>73</v>
      </c>
    </row>
    <row r="34" spans="1:15" ht="18.75" thickBot="1" x14ac:dyDescent="0.3">
      <c r="A34" s="189"/>
      <c r="B34" s="154"/>
      <c r="C34" s="158"/>
      <c r="D34" s="158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6"/>
    </row>
    <row r="35" spans="1:15" ht="18" x14ac:dyDescent="0.25">
      <c r="A35" s="186">
        <v>5</v>
      </c>
      <c r="B35" s="147"/>
      <c r="C35" s="180"/>
      <c r="D35" s="180"/>
      <c r="E35" s="147"/>
      <c r="F35" s="147"/>
      <c r="G35" s="147"/>
      <c r="H35" s="147"/>
      <c r="I35" s="148">
        <f>F35-G35-H35</f>
        <v>0</v>
      </c>
      <c r="J35" s="157"/>
      <c r="K35" s="147"/>
      <c r="L35" s="147"/>
      <c r="M35" s="147"/>
      <c r="N35" s="147"/>
      <c r="O35" s="149">
        <f>SUM(K35:N35)+$N$24</f>
        <v>73</v>
      </c>
    </row>
    <row r="36" spans="1:15" ht="18.75" thickBot="1" x14ac:dyDescent="0.3">
      <c r="A36" s="187"/>
      <c r="B36" s="150"/>
      <c r="C36" s="158"/>
      <c r="D36" s="158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2"/>
    </row>
    <row r="37" spans="1:15" ht="18" x14ac:dyDescent="0.25">
      <c r="A37" s="188">
        <v>6</v>
      </c>
      <c r="B37" s="147"/>
      <c r="C37" s="180"/>
      <c r="D37" s="180"/>
      <c r="E37" s="147"/>
      <c r="F37" s="147"/>
      <c r="G37" s="147"/>
      <c r="H37" s="147"/>
      <c r="I37" s="153">
        <f>F37-G37-H37</f>
        <v>0</v>
      </c>
      <c r="J37" s="157"/>
      <c r="K37" s="147"/>
      <c r="L37" s="147"/>
      <c r="M37" s="147"/>
      <c r="N37" s="147"/>
      <c r="O37" s="149">
        <f>SUM(K37:N37)+$N$24</f>
        <v>73</v>
      </c>
    </row>
    <row r="38" spans="1:15" ht="18.75" thickBot="1" x14ac:dyDescent="0.3">
      <c r="A38" s="189"/>
      <c r="B38" s="154"/>
      <c r="C38" s="158"/>
      <c r="D38" s="158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6"/>
    </row>
    <row r="39" spans="1:15" ht="18" x14ac:dyDescent="0.25">
      <c r="A39" s="186">
        <v>7</v>
      </c>
      <c r="B39" s="147"/>
      <c r="C39" s="180"/>
      <c r="D39" s="180"/>
      <c r="E39" s="147"/>
      <c r="F39" s="147"/>
      <c r="G39" s="147"/>
      <c r="H39" s="147"/>
      <c r="I39" s="148">
        <f>F39-G39-H39</f>
        <v>0</v>
      </c>
      <c r="J39" s="157"/>
      <c r="K39" s="147"/>
      <c r="L39" s="147"/>
      <c r="M39" s="147"/>
      <c r="N39" s="147"/>
      <c r="O39" s="149">
        <f>SUM(K39:N39)+$N$24</f>
        <v>73</v>
      </c>
    </row>
    <row r="40" spans="1:15" ht="18.75" thickBot="1" x14ac:dyDescent="0.3">
      <c r="A40" s="187"/>
      <c r="B40" s="150"/>
      <c r="C40" s="158"/>
      <c r="D40" s="158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2"/>
    </row>
    <row r="41" spans="1:15" ht="18" x14ac:dyDescent="0.25">
      <c r="A41" s="188">
        <v>8</v>
      </c>
      <c r="B41" s="147"/>
      <c r="C41" s="180"/>
      <c r="D41" s="180"/>
      <c r="E41" s="147"/>
      <c r="F41" s="147"/>
      <c r="G41" s="147"/>
      <c r="H41" s="147"/>
      <c r="I41" s="153">
        <f>F41-G41-H41</f>
        <v>0</v>
      </c>
      <c r="J41" s="157"/>
      <c r="K41" s="147"/>
      <c r="L41" s="147"/>
      <c r="M41" s="147"/>
      <c r="N41" s="147"/>
      <c r="O41" s="149">
        <f>SUM(K41:N41)+$N$24</f>
        <v>73</v>
      </c>
    </row>
    <row r="42" spans="1:15" ht="18.75" thickBot="1" x14ac:dyDescent="0.3">
      <c r="A42" s="189"/>
      <c r="B42" s="154"/>
      <c r="C42" s="158"/>
      <c r="D42" s="158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6"/>
    </row>
    <row r="43" spans="1:15" ht="18" x14ac:dyDescent="0.25">
      <c r="A43" s="186">
        <v>9</v>
      </c>
      <c r="B43" s="147"/>
      <c r="C43" s="180"/>
      <c r="D43" s="180"/>
      <c r="E43" s="147"/>
      <c r="F43" s="147"/>
      <c r="G43" s="147"/>
      <c r="H43" s="147"/>
      <c r="I43" s="148">
        <f>F43-G43-H43</f>
        <v>0</v>
      </c>
      <c r="J43" s="157"/>
      <c r="K43" s="147"/>
      <c r="L43" s="147"/>
      <c r="M43" s="147"/>
      <c r="N43" s="147"/>
      <c r="O43" s="149">
        <f>SUM(K43:N43)+$N$24</f>
        <v>73</v>
      </c>
    </row>
    <row r="44" spans="1:15" ht="18.75" thickBot="1" x14ac:dyDescent="0.3">
      <c r="A44" s="187"/>
      <c r="B44" s="150"/>
      <c r="C44" s="158"/>
      <c r="D44" s="158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2"/>
    </row>
    <row r="45" spans="1:15" ht="18" x14ac:dyDescent="0.25">
      <c r="A45" s="188">
        <v>10</v>
      </c>
      <c r="B45" s="147"/>
      <c r="C45" s="180"/>
      <c r="D45" s="180"/>
      <c r="E45" s="147"/>
      <c r="F45" s="147"/>
      <c r="G45" s="147"/>
      <c r="H45" s="147"/>
      <c r="I45" s="153">
        <f>F45-G45-H45</f>
        <v>0</v>
      </c>
      <c r="J45" s="157"/>
      <c r="K45" s="147"/>
      <c r="L45" s="147"/>
      <c r="M45" s="147"/>
      <c r="N45" s="147"/>
      <c r="O45" s="149">
        <f>SUM(K45:N45)+$N$24</f>
        <v>73</v>
      </c>
    </row>
    <row r="46" spans="1:15" ht="18.75" thickBot="1" x14ac:dyDescent="0.3">
      <c r="A46" s="189"/>
      <c r="B46" s="154"/>
      <c r="C46" s="158"/>
      <c r="D46" s="158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6"/>
    </row>
    <row r="47" spans="1:15" ht="18" x14ac:dyDescent="0.25">
      <c r="A47" s="186">
        <v>11</v>
      </c>
      <c r="B47" s="147"/>
      <c r="C47" s="180"/>
      <c r="D47" s="180"/>
      <c r="E47" s="147"/>
      <c r="F47" s="147"/>
      <c r="G47" s="147"/>
      <c r="H47" s="147"/>
      <c r="I47" s="148">
        <f>F47-G47-H47</f>
        <v>0</v>
      </c>
      <c r="J47" s="157"/>
      <c r="K47" s="147"/>
      <c r="L47" s="147"/>
      <c r="M47" s="147"/>
      <c r="N47" s="147"/>
      <c r="O47" s="149">
        <f>SUM(K47:N47)+$N$24</f>
        <v>73</v>
      </c>
    </row>
    <row r="48" spans="1:15" ht="18.75" thickBot="1" x14ac:dyDescent="0.3">
      <c r="A48" s="187"/>
      <c r="B48" s="150"/>
      <c r="C48" s="158"/>
      <c r="D48" s="158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2"/>
    </row>
    <row r="49" spans="1:15" ht="18" x14ac:dyDescent="0.25">
      <c r="A49" s="188">
        <v>12</v>
      </c>
      <c r="B49" s="147"/>
      <c r="C49" s="180"/>
      <c r="D49" s="180"/>
      <c r="E49" s="147"/>
      <c r="F49" s="147"/>
      <c r="G49" s="147"/>
      <c r="H49" s="147"/>
      <c r="I49" s="153">
        <f>F49-G49-H49</f>
        <v>0</v>
      </c>
      <c r="J49" s="157"/>
      <c r="K49" s="147"/>
      <c r="L49" s="147"/>
      <c r="M49" s="147"/>
      <c r="N49" s="147"/>
      <c r="O49" s="149">
        <f>SUM(K49:N49)+$N$24</f>
        <v>73</v>
      </c>
    </row>
    <row r="50" spans="1:15" ht="18.75" thickBot="1" x14ac:dyDescent="0.3">
      <c r="A50" s="189"/>
      <c r="B50" s="154"/>
      <c r="C50" s="158"/>
      <c r="D50" s="158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6"/>
    </row>
    <row r="51" spans="1:15" ht="18" x14ac:dyDescent="0.25">
      <c r="A51" s="186">
        <v>13</v>
      </c>
      <c r="B51" s="147"/>
      <c r="C51" s="180"/>
      <c r="D51" s="180"/>
      <c r="E51" s="147"/>
      <c r="F51" s="147"/>
      <c r="G51" s="147"/>
      <c r="H51" s="147"/>
      <c r="I51" s="148">
        <f>F51-G51-H51</f>
        <v>0</v>
      </c>
      <c r="J51" s="157"/>
      <c r="K51" s="147"/>
      <c r="L51" s="147"/>
      <c r="M51" s="147"/>
      <c r="N51" s="147"/>
      <c r="O51" s="149">
        <f>SUM(K51:N51)+$N$24</f>
        <v>73</v>
      </c>
    </row>
    <row r="52" spans="1:15" ht="18.75" thickBot="1" x14ac:dyDescent="0.3">
      <c r="A52" s="187"/>
      <c r="B52" s="150"/>
      <c r="C52" s="158"/>
      <c r="D52" s="158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2"/>
    </row>
    <row r="53" spans="1:15" ht="18" x14ac:dyDescent="0.25">
      <c r="A53" s="188">
        <v>14</v>
      </c>
      <c r="B53" s="147"/>
      <c r="C53" s="180"/>
      <c r="D53" s="180"/>
      <c r="E53" s="147"/>
      <c r="F53" s="147"/>
      <c r="G53" s="147"/>
      <c r="H53" s="147"/>
      <c r="I53" s="153">
        <f>F53-G53-H53</f>
        <v>0</v>
      </c>
      <c r="J53" s="157"/>
      <c r="K53" s="147"/>
      <c r="L53" s="147"/>
      <c r="M53" s="147"/>
      <c r="N53" s="147"/>
      <c r="O53" s="149">
        <f>SUM(K53:N53)+$N$24</f>
        <v>73</v>
      </c>
    </row>
    <row r="54" spans="1:15" ht="18.75" thickBot="1" x14ac:dyDescent="0.3">
      <c r="A54" s="189"/>
      <c r="B54" s="154"/>
      <c r="C54" s="158"/>
      <c r="D54" s="158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6"/>
    </row>
    <row r="55" spans="1:15" ht="18" x14ac:dyDescent="0.25">
      <c r="A55" s="186">
        <v>15</v>
      </c>
      <c r="B55" s="147"/>
      <c r="C55" s="180"/>
      <c r="D55" s="180"/>
      <c r="E55" s="147"/>
      <c r="F55" s="147"/>
      <c r="G55" s="147"/>
      <c r="H55" s="147"/>
      <c r="I55" s="148">
        <f>F55-G55-H55</f>
        <v>0</v>
      </c>
      <c r="J55" s="157"/>
      <c r="K55" s="147"/>
      <c r="L55" s="147"/>
      <c r="M55" s="147"/>
      <c r="N55" s="147"/>
      <c r="O55" s="149">
        <f>SUM(K55:N55)+$N$24</f>
        <v>73</v>
      </c>
    </row>
    <row r="56" spans="1:15" ht="18.75" thickBot="1" x14ac:dyDescent="0.3">
      <c r="A56" s="187"/>
      <c r="B56" s="150"/>
      <c r="C56" s="158"/>
      <c r="D56" s="158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2"/>
    </row>
    <row r="57" spans="1:15" ht="18" x14ac:dyDescent="0.25">
      <c r="A57" s="188">
        <v>16</v>
      </c>
      <c r="B57" s="147"/>
      <c r="C57" s="180"/>
      <c r="D57" s="180"/>
      <c r="E57" s="147"/>
      <c r="F57" s="147"/>
      <c r="G57" s="147"/>
      <c r="H57" s="147"/>
      <c r="I57" s="153">
        <f>F57-G57-H57</f>
        <v>0</v>
      </c>
      <c r="J57" s="157"/>
      <c r="K57" s="147"/>
      <c r="L57" s="147"/>
      <c r="M57" s="147"/>
      <c r="N57" s="147"/>
      <c r="O57" s="149">
        <f>SUM(K57:N57)+$N$24</f>
        <v>73</v>
      </c>
    </row>
    <row r="58" spans="1:15" ht="18.75" thickBot="1" x14ac:dyDescent="0.3">
      <c r="A58" s="189"/>
      <c r="B58" s="154"/>
      <c r="C58" s="158"/>
      <c r="D58" s="158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6"/>
    </row>
    <row r="59" spans="1:15" ht="18" x14ac:dyDescent="0.25">
      <c r="A59" s="186">
        <v>17</v>
      </c>
      <c r="B59" s="147"/>
      <c r="C59" s="180"/>
      <c r="D59" s="180"/>
      <c r="E59" s="147"/>
      <c r="F59" s="147"/>
      <c r="G59" s="147"/>
      <c r="H59" s="147"/>
      <c r="I59" s="148">
        <f>F59-G59-H59</f>
        <v>0</v>
      </c>
      <c r="J59" s="157"/>
      <c r="K59" s="147"/>
      <c r="L59" s="147"/>
      <c r="M59" s="147"/>
      <c r="N59" s="147"/>
      <c r="O59" s="149">
        <f>SUM(K59:N59)+$N$24</f>
        <v>73</v>
      </c>
    </row>
    <row r="60" spans="1:15" ht="18.75" thickBot="1" x14ac:dyDescent="0.3">
      <c r="A60" s="187"/>
      <c r="B60" s="150"/>
      <c r="C60" s="158"/>
      <c r="D60" s="158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2"/>
    </row>
    <row r="61" spans="1:15" ht="18" x14ac:dyDescent="0.25">
      <c r="A61" s="188">
        <v>18</v>
      </c>
      <c r="B61" s="147"/>
      <c r="C61" s="180"/>
      <c r="D61" s="180"/>
      <c r="E61" s="147"/>
      <c r="F61" s="147"/>
      <c r="G61" s="147"/>
      <c r="H61" s="147"/>
      <c r="I61" s="153">
        <f>F61-G61-H61</f>
        <v>0</v>
      </c>
      <c r="J61" s="157"/>
      <c r="K61" s="147"/>
      <c r="L61" s="147"/>
      <c r="M61" s="147"/>
      <c r="N61" s="147"/>
      <c r="O61" s="149">
        <f>SUM(K61:N61)+$N$24</f>
        <v>73</v>
      </c>
    </row>
    <row r="62" spans="1:15" ht="18.75" thickBot="1" x14ac:dyDescent="0.3">
      <c r="A62" s="189"/>
      <c r="B62" s="154"/>
      <c r="C62" s="158"/>
      <c r="D62" s="158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6"/>
    </row>
    <row r="63" spans="1:15" ht="18" x14ac:dyDescent="0.25">
      <c r="A63" s="186">
        <v>19</v>
      </c>
      <c r="B63" s="147"/>
      <c r="C63" s="180"/>
      <c r="D63" s="180"/>
      <c r="E63" s="147"/>
      <c r="F63" s="147"/>
      <c r="G63" s="147"/>
      <c r="H63" s="147"/>
      <c r="I63" s="148">
        <f>F63-G63-H63</f>
        <v>0</v>
      </c>
      <c r="J63" s="157"/>
      <c r="K63" s="147"/>
      <c r="L63" s="147"/>
      <c r="M63" s="147"/>
      <c r="N63" s="147"/>
      <c r="O63" s="149">
        <f>SUM(K63:N63)+$N$24</f>
        <v>73</v>
      </c>
    </row>
    <row r="64" spans="1:15" ht="18.75" thickBot="1" x14ac:dyDescent="0.3">
      <c r="A64" s="187"/>
      <c r="B64" s="150"/>
      <c r="C64" s="158"/>
      <c r="D64" s="158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2"/>
    </row>
    <row r="65" spans="1:16" ht="18" x14ac:dyDescent="0.25">
      <c r="A65" s="188">
        <v>20</v>
      </c>
      <c r="B65" s="147"/>
      <c r="C65" s="180"/>
      <c r="D65" s="180"/>
      <c r="E65" s="147"/>
      <c r="F65" s="147"/>
      <c r="G65" s="147"/>
      <c r="H65" s="147"/>
      <c r="I65" s="153">
        <f>F65-G65-H65</f>
        <v>0</v>
      </c>
      <c r="J65" s="157"/>
      <c r="K65" s="147"/>
      <c r="L65" s="147"/>
      <c r="M65" s="147"/>
      <c r="N65" s="147"/>
      <c r="O65" s="149">
        <f>SUM(K65:N65)+$N$24</f>
        <v>73</v>
      </c>
    </row>
    <row r="66" spans="1:16" ht="18.75" thickBot="1" x14ac:dyDescent="0.3">
      <c r="A66" s="189"/>
      <c r="B66" s="154"/>
      <c r="C66" s="159"/>
      <c r="D66" s="159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6"/>
    </row>
    <row r="67" spans="1:16" x14ac:dyDescent="0.2">
      <c r="A67" s="139" t="s">
        <v>300</v>
      </c>
      <c r="P67" s="85"/>
    </row>
    <row r="69" spans="1:16" x14ac:dyDescent="0.2">
      <c r="B69" s="181" t="str">
        <f>VLOOKUP(DATEN!I33,DATEN!$I$1:$J$39,IF($L$2="Deutsch", 1, 2),FALSE)</f>
        <v xml:space="preserve">Auftragsbestätigung 0-Schwelle </v>
      </c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</row>
    <row r="70" spans="1:16" x14ac:dyDescent="0.2">
      <c r="B70" s="181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</row>
    <row r="73" spans="1:16" ht="28.5" x14ac:dyDescent="0.2">
      <c r="A73" s="17" t="str">
        <f>VLOOKUP(DATEN!$I$25,DATEN!$I$1:$J$39,IF($L$2="Deutsch", 1, 2),FALSE)</f>
        <v>JAG-Pos</v>
      </c>
      <c r="B73" s="39" t="str">
        <f>VLOOKUP(DATEN!I31,DATEN!$I$1:$J$39,IF($L$2="Deutsch",1,2),FALSE)</f>
        <v>Ku-Pos</v>
      </c>
      <c r="C73" s="17"/>
      <c r="D73" s="17"/>
      <c r="E73" s="17" t="str">
        <f>VLOOKUP(DATEN!$I$15,DATEN!$I$1:$J$39,IF($L$2="Deutsch", 1, 2),FALSE)</f>
        <v>Stk Schw.</v>
      </c>
      <c r="F73" s="17" t="str">
        <f>VLOOKUP(DATEN!$I$16,DATEN!$I$1:$J$39,IF($L$2="Deutsch", 1, 2),FALSE)</f>
        <v>RA</v>
      </c>
      <c r="G73" s="176" t="str">
        <f>VLOOKUP(DATEN!$I$19,DATEN!$I$1:$J$39,IF($L$2="Deutsch", 1, 2),FALSE)</f>
        <v>Verbreiterungen</v>
      </c>
      <c r="H73" s="176"/>
      <c r="I73" s="176"/>
      <c r="J73" s="17"/>
      <c r="K73" s="176" t="s">
        <v>185</v>
      </c>
      <c r="L73" s="176"/>
      <c r="M73" s="176"/>
      <c r="N73" s="176" t="s">
        <v>8</v>
      </c>
      <c r="O73" s="176"/>
    </row>
    <row r="74" spans="1:16" x14ac:dyDescent="0.2">
      <c r="A74" s="21">
        <f>A27</f>
        <v>1</v>
      </c>
      <c r="B74" s="21">
        <f>B27</f>
        <v>0</v>
      </c>
      <c r="C74" s="21"/>
      <c r="D74" s="21"/>
      <c r="E74" s="21" t="str">
        <f>IF(E27=0,"",E27)</f>
        <v/>
      </c>
      <c r="F74" s="21" t="str">
        <f>IF(F27=0,"",F27)</f>
        <v/>
      </c>
      <c r="G74" s="175">
        <f>COUNT(K27:N27)</f>
        <v>0</v>
      </c>
      <c r="H74" s="175"/>
      <c r="I74" s="175"/>
      <c r="J74" s="144"/>
      <c r="K74" s="174" t="str">
        <f>IF(DATEN!AE4=0,"",DATEN!AE4)</f>
        <v/>
      </c>
      <c r="L74" s="174"/>
      <c r="M74" s="174"/>
      <c r="N74" s="160" t="str">
        <f>IF(DATEN!AE4=0,"",ROUND((DATEN!AE4*E27)/5,2)*5)</f>
        <v/>
      </c>
      <c r="O74" s="160"/>
    </row>
    <row r="75" spans="1:16" x14ac:dyDescent="0.2">
      <c r="I75" s="12"/>
      <c r="J75" s="12"/>
      <c r="K75" s="111" t="str">
        <f>IF(K74="","","(NETTO/ Stk "&amp;ROUND(K74-(K74*(($L$114))),2)&amp;"CHF )")</f>
        <v/>
      </c>
      <c r="L75" s="111"/>
      <c r="M75"/>
    </row>
    <row r="76" spans="1:16" x14ac:dyDescent="0.2">
      <c r="A76" s="21">
        <f t="shared" ref="A76:A112" si="0">A29</f>
        <v>2</v>
      </c>
      <c r="B76" s="21">
        <f>B29</f>
        <v>0</v>
      </c>
      <c r="C76" s="21"/>
      <c r="D76" s="21"/>
      <c r="E76" s="21" t="str">
        <f>IF(E29=0,"",E29)</f>
        <v/>
      </c>
      <c r="F76" s="21" t="str">
        <f>IF(F29=0,"",F29)</f>
        <v/>
      </c>
      <c r="G76" s="175">
        <f>COUNT(K29:N29)</f>
        <v>0</v>
      </c>
      <c r="H76" s="175"/>
      <c r="I76" s="175"/>
      <c r="J76" s="144"/>
      <c r="K76" s="174" t="str">
        <f>IF(DATEN!AE9=0,"",DATEN!AE9)</f>
        <v/>
      </c>
      <c r="L76" s="174"/>
      <c r="M76" s="174"/>
      <c r="N76" s="160" t="str">
        <f>IF(DATEN!AE9=0,"",ROUND((DATEN!AE9*E29)/5,2)*5)</f>
        <v/>
      </c>
      <c r="O76" s="160"/>
    </row>
    <row r="77" spans="1:16" x14ac:dyDescent="0.2">
      <c r="I77" s="12"/>
      <c r="J77" s="12"/>
      <c r="K77" s="111" t="str">
        <f>IF(K76="","","(NETTO/ Stk "&amp;ROUND(K76-(K76*(($L$114))),2)&amp;"CHF )")</f>
        <v/>
      </c>
      <c r="L77" s="111"/>
      <c r="M77"/>
    </row>
    <row r="78" spans="1:16" x14ac:dyDescent="0.2">
      <c r="A78" s="21">
        <f t="shared" si="0"/>
        <v>3</v>
      </c>
      <c r="B78" s="21">
        <f>B31</f>
        <v>0</v>
      </c>
      <c r="C78" s="21"/>
      <c r="D78" s="21"/>
      <c r="E78" s="21" t="str">
        <f>IF(E31=0,"",E31)</f>
        <v/>
      </c>
      <c r="F78" s="21" t="str">
        <f>IF(F31=0,"",F31)</f>
        <v/>
      </c>
      <c r="G78" s="175">
        <f>COUNT(K31:N31)</f>
        <v>0</v>
      </c>
      <c r="H78" s="175"/>
      <c r="I78" s="175"/>
      <c r="J78" s="144"/>
      <c r="K78" s="174" t="str">
        <f>IF(DATEN!AE14=0,"",DATEN!AE14)</f>
        <v/>
      </c>
      <c r="L78" s="174"/>
      <c r="M78" s="174"/>
      <c r="N78" s="160" t="str">
        <f>IF(DATEN!AE14=0,"",ROUND((DATEN!AE14*E31)/5,2)*5)</f>
        <v/>
      </c>
      <c r="O78" s="160"/>
    </row>
    <row r="79" spans="1:16" x14ac:dyDescent="0.2">
      <c r="I79" s="12"/>
      <c r="J79" s="12"/>
      <c r="K79" s="111" t="str">
        <f>IF(K78="","","(NETTO/ Stk "&amp;ROUND(K78-(K78*(($L$114))),2)&amp;"CHF )")</f>
        <v/>
      </c>
      <c r="L79" s="111"/>
      <c r="M79"/>
    </row>
    <row r="80" spans="1:16" x14ac:dyDescent="0.2">
      <c r="A80" s="21">
        <f t="shared" si="0"/>
        <v>4</v>
      </c>
      <c r="B80" s="21">
        <f>B33</f>
        <v>0</v>
      </c>
      <c r="C80" s="21"/>
      <c r="D80" s="21"/>
      <c r="E80" s="21" t="str">
        <f>IF(E33=0,"",E33)</f>
        <v/>
      </c>
      <c r="F80" s="21" t="str">
        <f>IF(F33=0,"",F33)</f>
        <v/>
      </c>
      <c r="G80" s="175">
        <f>COUNT(K33:N33)</f>
        <v>0</v>
      </c>
      <c r="H80" s="175"/>
      <c r="I80" s="175"/>
      <c r="J80" s="144"/>
      <c r="K80" s="174" t="str">
        <f>IF(DATEN!AE19=0,"",DATEN!AE19)</f>
        <v/>
      </c>
      <c r="L80" s="174"/>
      <c r="M80" s="174"/>
      <c r="N80" s="160" t="str">
        <f>IF(DATEN!AE19=0,"",ROUND((DATEN!AE19*E33)/5,2)*5)</f>
        <v/>
      </c>
      <c r="O80" s="160"/>
    </row>
    <row r="81" spans="1:16" x14ac:dyDescent="0.2">
      <c r="I81" s="12"/>
      <c r="J81" s="12"/>
      <c r="K81" s="111" t="str">
        <f>IF(K80="","","(NETTO/ Stk "&amp;ROUND(K80-(K80*(($L$114))),2)&amp;"CHF )")</f>
        <v/>
      </c>
      <c r="L81" s="111"/>
      <c r="M81"/>
    </row>
    <row r="82" spans="1:16" x14ac:dyDescent="0.2">
      <c r="A82" s="21">
        <f t="shared" si="0"/>
        <v>5</v>
      </c>
      <c r="B82" s="21">
        <f>B35</f>
        <v>0</v>
      </c>
      <c r="C82" s="21"/>
      <c r="D82" s="21"/>
      <c r="E82" s="21" t="str">
        <f>IF(E35=0,"",E35)</f>
        <v/>
      </c>
      <c r="F82" s="21" t="str">
        <f>IF(F35=0,"",F35)</f>
        <v/>
      </c>
      <c r="G82" s="175">
        <f>COUNT(K35:N35)</f>
        <v>0</v>
      </c>
      <c r="H82" s="175"/>
      <c r="I82" s="175"/>
      <c r="J82" s="144"/>
      <c r="K82" s="174" t="str">
        <f>IF(DATEN!AE24=0,"",DATEN!AE24)</f>
        <v/>
      </c>
      <c r="L82" s="174"/>
      <c r="M82" s="174"/>
      <c r="N82" s="160" t="str">
        <f>IF(DATEN!AE24=0,"",ROUND((DATEN!AE24*E35)/5,2)*5)</f>
        <v/>
      </c>
      <c r="O82" s="160"/>
    </row>
    <row r="83" spans="1:16" x14ac:dyDescent="0.2">
      <c r="E83" s="9"/>
      <c r="F83" s="9"/>
      <c r="G83" s="9"/>
      <c r="H83" s="9"/>
      <c r="K83" s="111" t="str">
        <f>IF(K82="","","(NETTO/ Stk "&amp;ROUND(K82-(K82*(($L$114))),2)&amp;"CHF )")</f>
        <v/>
      </c>
    </row>
    <row r="84" spans="1:16" x14ac:dyDescent="0.2">
      <c r="A84" s="21">
        <f t="shared" si="0"/>
        <v>6</v>
      </c>
      <c r="B84" s="21">
        <f>B37</f>
        <v>0</v>
      </c>
      <c r="C84" s="21"/>
      <c r="D84" s="21"/>
      <c r="E84" s="21" t="str">
        <f>IF(E37=0,"",E37)</f>
        <v/>
      </c>
      <c r="F84" s="21" t="str">
        <f>IF(F37=0,"",F37)</f>
        <v/>
      </c>
      <c r="G84" s="175">
        <f>COUNT(K37:N37)</f>
        <v>0</v>
      </c>
      <c r="H84" s="175"/>
      <c r="I84" s="175"/>
      <c r="J84" s="144"/>
      <c r="K84" s="174" t="str">
        <f>IF(DATEN!AE29=0,"",DATEN!AE29)</f>
        <v/>
      </c>
      <c r="L84" s="174"/>
      <c r="M84" s="174"/>
      <c r="N84" s="160" t="str">
        <f>IF(DATEN!AE29=0,"",ROUND((DATEN!AE29*E37)/5,2)*5)</f>
        <v/>
      </c>
      <c r="O84" s="160"/>
    </row>
    <row r="85" spans="1:16" x14ac:dyDescent="0.2">
      <c r="I85" s="12"/>
      <c r="J85" s="12"/>
      <c r="K85" s="111" t="str">
        <f>IF(K84="","","(NETTO/ Stk "&amp;ROUND(K84-(K84*(($L$114))),2)&amp;"CHF )")</f>
        <v/>
      </c>
      <c r="L85" s="111"/>
      <c r="M85"/>
    </row>
    <row r="86" spans="1:16" x14ac:dyDescent="0.2">
      <c r="A86" s="21">
        <f t="shared" si="0"/>
        <v>7</v>
      </c>
      <c r="B86" s="21">
        <f>B39</f>
        <v>0</v>
      </c>
      <c r="C86" s="21"/>
      <c r="D86" s="21"/>
      <c r="E86" s="21" t="str">
        <f>IF(E39=0,"",E39)</f>
        <v/>
      </c>
      <c r="F86" s="21" t="str">
        <f>IF(F39=0,"",F39)</f>
        <v/>
      </c>
      <c r="G86" s="175">
        <f>COUNT(K39:N39)</f>
        <v>0</v>
      </c>
      <c r="H86" s="175"/>
      <c r="I86" s="175"/>
      <c r="J86" s="144"/>
      <c r="K86" s="174" t="str">
        <f>IF(DATEN!AE34=0,"",DATEN!AE34)</f>
        <v/>
      </c>
      <c r="L86" s="174"/>
      <c r="M86" s="174"/>
      <c r="N86" s="160" t="str">
        <f>IF(DATEN!AE34=0,"",ROUND((DATEN!AE34*E39)/5,2)*5)</f>
        <v/>
      </c>
      <c r="O86" s="160"/>
    </row>
    <row r="87" spans="1:16" x14ac:dyDescent="0.2">
      <c r="I87" s="12"/>
      <c r="J87" s="12"/>
      <c r="K87" s="111" t="str">
        <f>IF(K86="","","(NETTO/ Stk "&amp;ROUND(K86-(K86*(($L$114))),2)&amp;"CHF )")</f>
        <v/>
      </c>
      <c r="L87" s="111"/>
      <c r="M87"/>
    </row>
    <row r="88" spans="1:16" x14ac:dyDescent="0.2">
      <c r="A88" s="21">
        <f t="shared" si="0"/>
        <v>8</v>
      </c>
      <c r="B88" s="21">
        <f>B41</f>
        <v>0</v>
      </c>
      <c r="C88" s="21"/>
      <c r="D88" s="21"/>
      <c r="E88" s="21" t="str">
        <f>IF(E41=0,"",E41)</f>
        <v/>
      </c>
      <c r="F88" s="21" t="str">
        <f>IF(F41=0,"",F41)</f>
        <v/>
      </c>
      <c r="G88" s="175">
        <f>COUNT(K41:N41)</f>
        <v>0</v>
      </c>
      <c r="H88" s="175"/>
      <c r="I88" s="175"/>
      <c r="J88" s="144"/>
      <c r="K88" s="174" t="str">
        <f>IF(DATEN!AE39=0,"",DATEN!AE39)</f>
        <v/>
      </c>
      <c r="L88" s="174"/>
      <c r="M88" s="174"/>
      <c r="N88" s="160" t="str">
        <f>IF(DATEN!AE39=0,"",ROUND((DATEN!AE24*E35)/5,2)*5)</f>
        <v/>
      </c>
      <c r="O88" s="160"/>
    </row>
    <row r="89" spans="1:16" x14ac:dyDescent="0.2">
      <c r="I89" s="12"/>
      <c r="J89" s="12"/>
      <c r="K89" s="111" t="str">
        <f>IF(K88="","","(NETTO/ Stk "&amp;ROUND(K88-(K88*(($L$114))),2)&amp;"CHF )")</f>
        <v/>
      </c>
      <c r="L89" s="111"/>
      <c r="M89"/>
    </row>
    <row r="90" spans="1:16" x14ac:dyDescent="0.2">
      <c r="A90" s="21">
        <f t="shared" si="0"/>
        <v>9</v>
      </c>
      <c r="B90" s="21">
        <f>B43</f>
        <v>0</v>
      </c>
      <c r="C90" s="21"/>
      <c r="D90" s="21"/>
      <c r="E90" s="21" t="str">
        <f>IF(E43=0,"",E43)</f>
        <v/>
      </c>
      <c r="F90" s="21" t="str">
        <f>IF(F43=0,"",F43)</f>
        <v/>
      </c>
      <c r="G90" s="175">
        <f>COUNT(K43:N43)</f>
        <v>0</v>
      </c>
      <c r="H90" s="175"/>
      <c r="I90" s="175"/>
      <c r="J90" s="144"/>
      <c r="K90" s="174" t="str">
        <f>IF(DATEN!AE44=0,"",DATEN!AE44)</f>
        <v/>
      </c>
      <c r="L90" s="174"/>
      <c r="M90" s="174"/>
      <c r="N90" s="160" t="str">
        <f>IF(DATEN!AE44=0,"",ROUND((DATEN!AE44*E43)/5,2)*5)</f>
        <v/>
      </c>
      <c r="O90" s="160"/>
    </row>
    <row r="91" spans="1:16" x14ac:dyDescent="0.2">
      <c r="I91" s="12"/>
      <c r="J91" s="12"/>
      <c r="K91" s="111" t="str">
        <f>IF(K90="","","(NETTO/ Stk "&amp;ROUND(K90-(K90*(($L$114))),2)&amp;"CHF )")</f>
        <v/>
      </c>
      <c r="L91" s="111"/>
      <c r="M91"/>
    </row>
    <row r="92" spans="1:16" x14ac:dyDescent="0.2">
      <c r="A92" s="21">
        <f t="shared" si="0"/>
        <v>10</v>
      </c>
      <c r="B92" s="21">
        <f>B45</f>
        <v>0</v>
      </c>
      <c r="C92" s="21"/>
      <c r="D92" s="21"/>
      <c r="E92" s="21" t="str">
        <f>IF(E45=0,"",E45)</f>
        <v/>
      </c>
      <c r="F92" s="21" t="str">
        <f>IF(F45=0,"",F45)</f>
        <v/>
      </c>
      <c r="G92" s="175">
        <f>COUNT(K45:N45)</f>
        <v>0</v>
      </c>
      <c r="H92" s="175"/>
      <c r="I92" s="175"/>
      <c r="J92" s="144"/>
      <c r="K92" s="174" t="str">
        <f>IF(DATEN!AE49=0,"",DATEN!AE49)</f>
        <v/>
      </c>
      <c r="L92" s="174"/>
      <c r="M92" s="174"/>
      <c r="N92" s="160" t="str">
        <f>IF(DATEN!AE49=0,"",ROUND((DATEN!AE49*E45)/5,2)*5)</f>
        <v/>
      </c>
      <c r="O92" s="160"/>
    </row>
    <row r="93" spans="1:16" x14ac:dyDescent="0.2">
      <c r="E93" s="9"/>
      <c r="F93" s="9"/>
      <c r="G93" s="9"/>
      <c r="H93" s="9"/>
      <c r="P93" s="9"/>
    </row>
    <row r="94" spans="1:16" x14ac:dyDescent="0.2">
      <c r="A94" s="21">
        <f t="shared" si="0"/>
        <v>11</v>
      </c>
      <c r="B94" s="21">
        <f>B47</f>
        <v>0</v>
      </c>
      <c r="C94" s="21"/>
      <c r="D94" s="21"/>
      <c r="E94" s="21" t="str">
        <f>IF(E47=0,"",E47)</f>
        <v/>
      </c>
      <c r="F94" s="21" t="str">
        <f>IF(F47=0,"",F47)</f>
        <v/>
      </c>
      <c r="G94" s="175">
        <f>COUNT(K47:N47)</f>
        <v>0</v>
      </c>
      <c r="H94" s="175"/>
      <c r="I94" s="175"/>
      <c r="J94" s="144"/>
      <c r="K94" s="174" t="str">
        <f>IF(DATEN!AE54=0,"",DATEN!AE54)</f>
        <v/>
      </c>
      <c r="L94" s="174"/>
      <c r="M94" s="174"/>
      <c r="N94" s="160" t="str">
        <f>IF(DATEN!AE54=0,"",ROUND((DATEN!AE54*E47)/5,2)*5)</f>
        <v/>
      </c>
      <c r="O94" s="160"/>
    </row>
    <row r="95" spans="1:16" x14ac:dyDescent="0.2">
      <c r="I95" s="12"/>
      <c r="J95" s="12"/>
      <c r="K95" s="111" t="str">
        <f>IF(K94="","","(NETTO/ Stk "&amp;ROUND(K94-(K94*(($L$114))),2)&amp;"CHF )")</f>
        <v/>
      </c>
      <c r="L95" s="111"/>
      <c r="M95"/>
      <c r="P95" s="9"/>
    </row>
    <row r="96" spans="1:16" x14ac:dyDescent="0.2">
      <c r="A96" s="21">
        <f t="shared" si="0"/>
        <v>12</v>
      </c>
      <c r="B96" s="21">
        <f>B49</f>
        <v>0</v>
      </c>
      <c r="C96" s="21"/>
      <c r="D96" s="21"/>
      <c r="E96" s="21" t="str">
        <f>IF(E49=0,"",E49)</f>
        <v/>
      </c>
      <c r="F96" s="21" t="str">
        <f>IF(F49=0,"",F49)</f>
        <v/>
      </c>
      <c r="G96" s="175">
        <f>COUNT(K49:N49)</f>
        <v>0</v>
      </c>
      <c r="H96" s="175"/>
      <c r="I96" s="175"/>
      <c r="J96" s="144"/>
      <c r="K96" s="174" t="str">
        <f>IF(DATEN!AE59=0,"",DATEN!AE59)</f>
        <v/>
      </c>
      <c r="L96" s="174"/>
      <c r="M96" s="174"/>
      <c r="N96" s="160" t="str">
        <f>IF(DATEN!AE59=0,"",ROUND((DATEN!AE59*E49)/5,2)*5)</f>
        <v/>
      </c>
      <c r="O96" s="160"/>
    </row>
    <row r="97" spans="1:16" x14ac:dyDescent="0.2">
      <c r="I97" s="12"/>
      <c r="J97" s="12"/>
      <c r="K97" s="111" t="str">
        <f>IF(K96="","","(NETTO/ Stk "&amp;ROUND(K96-(K96*(($L$114))),2)&amp;"CHF )")</f>
        <v/>
      </c>
      <c r="L97" s="111"/>
      <c r="M97"/>
      <c r="P97" s="9"/>
    </row>
    <row r="98" spans="1:16" x14ac:dyDescent="0.2">
      <c r="A98" s="21">
        <f t="shared" si="0"/>
        <v>13</v>
      </c>
      <c r="B98" s="21">
        <f>B51</f>
        <v>0</v>
      </c>
      <c r="C98" s="21"/>
      <c r="D98" s="21"/>
      <c r="E98" s="21" t="str">
        <f>IF(E51=0,"",E51)</f>
        <v/>
      </c>
      <c r="F98" s="21" t="str">
        <f>IF(F51=0,"",F51)</f>
        <v/>
      </c>
      <c r="G98" s="175">
        <f>COUNT(K51:N51)</f>
        <v>0</v>
      </c>
      <c r="H98" s="175"/>
      <c r="I98" s="175"/>
      <c r="J98" s="144"/>
      <c r="K98" s="174" t="str">
        <f>IF(DATEN!AE64=0,"",DATEN!AE64)</f>
        <v/>
      </c>
      <c r="L98" s="174"/>
      <c r="M98" s="174"/>
      <c r="N98" s="160" t="str">
        <f>IF(DATEN!AE64=0,"",ROUND((DATEN!AE64*E51)/5,2)*5)</f>
        <v/>
      </c>
      <c r="O98" s="160"/>
    </row>
    <row r="99" spans="1:16" x14ac:dyDescent="0.2">
      <c r="I99" s="12"/>
      <c r="J99" s="12"/>
      <c r="K99" s="111" t="str">
        <f>IF(K98="","","(NETTO/ Stk "&amp;ROUND(K98-(K98*(($L$114))),2)&amp;"CHF )")</f>
        <v/>
      </c>
      <c r="L99" s="111"/>
      <c r="M99"/>
    </row>
    <row r="100" spans="1:16" x14ac:dyDescent="0.2">
      <c r="A100" s="21">
        <f t="shared" si="0"/>
        <v>14</v>
      </c>
      <c r="B100" s="21">
        <f>B53</f>
        <v>0</v>
      </c>
      <c r="C100" s="21"/>
      <c r="D100" s="21"/>
      <c r="E100" s="21" t="str">
        <f>IF(E53=0,"",E53)</f>
        <v/>
      </c>
      <c r="F100" s="21" t="str">
        <f>IF(F53=0,"",F53)</f>
        <v/>
      </c>
      <c r="G100" s="175">
        <f>COUNT(K53:N53)</f>
        <v>0</v>
      </c>
      <c r="H100" s="175"/>
      <c r="I100" s="175"/>
      <c r="J100" s="144"/>
      <c r="K100" s="174" t="str">
        <f>IF(DATEN!AE69=0,"",DATEN!AE69)</f>
        <v/>
      </c>
      <c r="L100" s="174"/>
      <c r="M100" s="174"/>
      <c r="N100" s="160" t="str">
        <f>IF(DATEN!AE69=0,"",ROUND((DATEN!AE69*E53)/5,2)*5)</f>
        <v/>
      </c>
      <c r="O100" s="160"/>
    </row>
    <row r="101" spans="1:16" x14ac:dyDescent="0.2">
      <c r="I101" s="12"/>
      <c r="J101" s="12"/>
      <c r="K101" s="111" t="str">
        <f>IF(K100="","","(NETTO/ Stk "&amp;ROUND(K100-(K100*(($L$114))),2)&amp;"CHF )")</f>
        <v/>
      </c>
      <c r="L101" s="111"/>
      <c r="M101"/>
    </row>
    <row r="102" spans="1:16" x14ac:dyDescent="0.2">
      <c r="A102" s="21">
        <f t="shared" si="0"/>
        <v>15</v>
      </c>
      <c r="B102" s="21">
        <f>B55</f>
        <v>0</v>
      </c>
      <c r="C102" s="21"/>
      <c r="D102" s="21"/>
      <c r="E102" s="21" t="str">
        <f>IF(E55=0,"",E55)</f>
        <v/>
      </c>
      <c r="F102" s="21" t="str">
        <f>IF(F55=0,"",F55)</f>
        <v/>
      </c>
      <c r="G102" s="175">
        <f>COUNT(K55:N55)</f>
        <v>0</v>
      </c>
      <c r="H102" s="175"/>
      <c r="I102" s="175"/>
      <c r="J102" s="144"/>
      <c r="K102" s="174" t="str">
        <f>IF(DATEN!AE74=0,"",DATEN!AE74)</f>
        <v/>
      </c>
      <c r="L102" s="174"/>
      <c r="M102" s="174"/>
      <c r="N102" s="160" t="str">
        <f>IF(DATEN!AE74=0,"",ROUND((DATEN!AE74*E55)/5,2)*5)</f>
        <v/>
      </c>
      <c r="O102" s="160"/>
    </row>
    <row r="103" spans="1:16" x14ac:dyDescent="0.2">
      <c r="I103" s="12"/>
      <c r="J103" s="12"/>
      <c r="K103" s="111" t="str">
        <f>IF(K102="","","(NETTO/ Stk "&amp;ROUND(K102-(K102*(($L$114))),2)&amp;"CHF )")</f>
        <v/>
      </c>
      <c r="L103" s="111"/>
      <c r="M103"/>
    </row>
    <row r="104" spans="1:16" x14ac:dyDescent="0.2">
      <c r="A104" s="21">
        <f t="shared" si="0"/>
        <v>16</v>
      </c>
      <c r="B104" s="21">
        <f>B57</f>
        <v>0</v>
      </c>
      <c r="C104" s="21"/>
      <c r="D104" s="21"/>
      <c r="E104" s="21" t="str">
        <f>IF(E57=0,"",E57)</f>
        <v/>
      </c>
      <c r="F104" s="21" t="str">
        <f>IF(F57=0,"",F57)</f>
        <v/>
      </c>
      <c r="G104" s="175">
        <f>COUNT(K57:N57)</f>
        <v>0</v>
      </c>
      <c r="H104" s="175"/>
      <c r="I104" s="175"/>
      <c r="J104" s="144"/>
      <c r="K104" s="174" t="str">
        <f>IF(DATEN!AE79=0,"",DATEN!AE79)</f>
        <v/>
      </c>
      <c r="L104" s="174"/>
      <c r="M104" s="174"/>
      <c r="N104" s="160" t="str">
        <f>IF(DATEN!AE76=0,"",ROUND((DATEN!AE76*E57)/5,2)*5)</f>
        <v/>
      </c>
      <c r="O104" s="160"/>
    </row>
    <row r="105" spans="1:16" x14ac:dyDescent="0.2">
      <c r="I105" s="12"/>
      <c r="J105" s="12"/>
      <c r="K105" s="111" t="str">
        <f>IF(K104="","","(NETTO/ Stk "&amp;ROUND(K104-(K104*(($L$114))),2)&amp;"CHF )")</f>
        <v/>
      </c>
      <c r="L105" s="111"/>
      <c r="M105"/>
    </row>
    <row r="106" spans="1:16" x14ac:dyDescent="0.2">
      <c r="A106" s="21">
        <f t="shared" si="0"/>
        <v>17</v>
      </c>
      <c r="B106" s="21">
        <f>B59</f>
        <v>0</v>
      </c>
      <c r="C106" s="21"/>
      <c r="D106" s="21"/>
      <c r="E106" s="21" t="str">
        <f>IF(E59=0,"",E59)</f>
        <v/>
      </c>
      <c r="F106" s="21" t="str">
        <f>IF(F59=0,"",F59)</f>
        <v/>
      </c>
      <c r="G106" s="175">
        <f>COUNT(K59:N59)</f>
        <v>0</v>
      </c>
      <c r="H106" s="175"/>
      <c r="I106" s="175"/>
      <c r="J106" s="144"/>
      <c r="K106" s="174" t="str">
        <f>IF(DATEN!AE84=0,"",DATEN!AE84)</f>
        <v/>
      </c>
      <c r="L106" s="174"/>
      <c r="M106" s="174"/>
      <c r="N106" s="160" t="str">
        <f>IF(DATEN!AE84=0,"",ROUND((DATEN!AE84*E59)/5,2)*5)</f>
        <v/>
      </c>
      <c r="O106" s="160"/>
    </row>
    <row r="107" spans="1:16" x14ac:dyDescent="0.2">
      <c r="I107" s="12"/>
      <c r="J107" s="12"/>
      <c r="K107" s="111" t="str">
        <f>IF(K106="","","(NETTO/ Stk "&amp;ROUND(K106-(K106*(($L$114))),2)&amp;"CHF )")</f>
        <v/>
      </c>
      <c r="L107" s="111"/>
      <c r="M107"/>
    </row>
    <row r="108" spans="1:16" x14ac:dyDescent="0.2">
      <c r="A108" s="21">
        <f t="shared" si="0"/>
        <v>18</v>
      </c>
      <c r="B108" s="21">
        <f>B61</f>
        <v>0</v>
      </c>
      <c r="C108" s="21"/>
      <c r="D108" s="21"/>
      <c r="E108" s="21" t="str">
        <f>IF(E61=0,"",E61)</f>
        <v/>
      </c>
      <c r="F108" s="21" t="str">
        <f>IF(F61=0,"",F61)</f>
        <v/>
      </c>
      <c r="G108" s="175">
        <f>COUNT(K61:N61)</f>
        <v>0</v>
      </c>
      <c r="H108" s="175"/>
      <c r="I108" s="175"/>
      <c r="J108" s="144"/>
      <c r="K108" s="174" t="str">
        <f>IF(DATEN!AE89=0,"",DATEN!AE89)</f>
        <v/>
      </c>
      <c r="L108" s="174"/>
      <c r="M108" s="174"/>
      <c r="N108" s="160" t="str">
        <f>IF(DATEN!AE89=0,"",ROUND((DATEN!AE89*E61)/5,2)*5)</f>
        <v/>
      </c>
      <c r="O108" s="160"/>
    </row>
    <row r="109" spans="1:16" x14ac:dyDescent="0.2">
      <c r="I109" s="12"/>
      <c r="J109" s="12"/>
      <c r="K109" s="111" t="str">
        <f>IF(K108="","","(NETTO/ Stk "&amp;ROUND(K108-(K108*(($L$114))),2)&amp;"CHF )")</f>
        <v/>
      </c>
      <c r="L109" s="111"/>
      <c r="M109"/>
    </row>
    <row r="110" spans="1:16" x14ac:dyDescent="0.2">
      <c r="A110" s="21">
        <f t="shared" si="0"/>
        <v>19</v>
      </c>
      <c r="B110" s="21">
        <f>B63</f>
        <v>0</v>
      </c>
      <c r="C110" s="21"/>
      <c r="D110" s="21"/>
      <c r="E110" s="21" t="str">
        <f>IF(E63=0,"",E63)</f>
        <v/>
      </c>
      <c r="F110" s="21" t="str">
        <f>IF(F63=0,"",F63)</f>
        <v/>
      </c>
      <c r="G110" s="175">
        <f>COUNT(K63:N63)</f>
        <v>0</v>
      </c>
      <c r="H110" s="175"/>
      <c r="I110" s="175"/>
      <c r="J110" s="144"/>
      <c r="K110" s="174" t="str">
        <f>IF(DATEN!AE94=0,"",DATEN!AE84)</f>
        <v/>
      </c>
      <c r="L110" s="174"/>
      <c r="M110" s="174"/>
      <c r="N110" s="160" t="str">
        <f>IF(DATEN!AE94=0,"",ROUND((DATEN!AE94*E63)/5,2)*5)</f>
        <v/>
      </c>
      <c r="O110" s="160"/>
    </row>
    <row r="111" spans="1:16" x14ac:dyDescent="0.2">
      <c r="I111" s="12"/>
      <c r="J111" s="12"/>
      <c r="K111" s="111" t="str">
        <f>IF(K110="","","(NETTO/ Stk "&amp;ROUND(K110-(K110*(($L$114))),2)&amp;"CHF )")</f>
        <v/>
      </c>
      <c r="L111" s="111"/>
      <c r="M111"/>
    </row>
    <row r="112" spans="1:16" x14ac:dyDescent="0.2">
      <c r="A112" s="21">
        <f t="shared" si="0"/>
        <v>20</v>
      </c>
      <c r="B112" s="21">
        <f>B65</f>
        <v>0</v>
      </c>
      <c r="C112" s="21"/>
      <c r="D112" s="21"/>
      <c r="E112" s="21" t="str">
        <f>IF(E65=0,"",E65)</f>
        <v/>
      </c>
      <c r="F112" s="21" t="str">
        <f>IF(F65=0,"",F65)</f>
        <v/>
      </c>
      <c r="G112" s="175">
        <f>COUNT(K65:N65)</f>
        <v>0</v>
      </c>
      <c r="H112" s="175"/>
      <c r="I112" s="175"/>
      <c r="J112" s="144"/>
      <c r="K112" s="174" t="str">
        <f>IF(DATEN!AE99=0,"",DATEN!AE99)</f>
        <v/>
      </c>
      <c r="L112" s="174"/>
      <c r="M112" s="174"/>
      <c r="N112" s="160" t="str">
        <f>IF(DATEN!AE99=0,"",ROUND((DATEN!AE99*E65)/5,2)*5)</f>
        <v/>
      </c>
      <c r="O112" s="160"/>
    </row>
    <row r="113" spans="1:15" x14ac:dyDescent="0.2">
      <c r="H113" t="str">
        <f>IF(L114="","Total","Total Brutto")</f>
        <v>Total</v>
      </c>
      <c r="I113"/>
      <c r="J113"/>
      <c r="K113"/>
      <c r="L113"/>
      <c r="N113" s="201">
        <f>SUM(N74:N112)</f>
        <v>0</v>
      </c>
      <c r="O113" s="201"/>
    </row>
    <row r="114" spans="1:15" x14ac:dyDescent="0.2">
      <c r="H114" t="str">
        <f>IF(L114="","","Kundenrabatt")</f>
        <v/>
      </c>
      <c r="I114"/>
      <c r="J114"/>
      <c r="K114"/>
      <c r="L114" s="116"/>
      <c r="N114" s="201" t="str">
        <f>IF(L114="","",N113*L114)</f>
        <v/>
      </c>
      <c r="O114" s="201"/>
    </row>
    <row r="115" spans="1:15" x14ac:dyDescent="0.2">
      <c r="H115" t="str">
        <f>IF(L114="","","Netto")</f>
        <v/>
      </c>
      <c r="I115"/>
      <c r="J115"/>
      <c r="K115"/>
      <c r="L115"/>
      <c r="N115" s="201" t="str">
        <f>IF(L114="","",N113-N114)</f>
        <v/>
      </c>
      <c r="O115" s="201"/>
    </row>
    <row r="116" spans="1:15" x14ac:dyDescent="0.2">
      <c r="H116" t="s">
        <v>7</v>
      </c>
      <c r="I116"/>
      <c r="J116"/>
      <c r="K116"/>
      <c r="L116" s="112">
        <v>8.1000000000000003E-2</v>
      </c>
      <c r="N116" s="201">
        <f>IF(L114="",N113*L116,N115*L116)</f>
        <v>0</v>
      </c>
      <c r="O116" s="201"/>
    </row>
    <row r="117" spans="1:15" ht="15.75" x14ac:dyDescent="0.25">
      <c r="H117" s="113" t="s">
        <v>203</v>
      </c>
      <c r="I117" s="113"/>
      <c r="J117" s="113"/>
      <c r="K117" s="113"/>
      <c r="L117" s="113"/>
      <c r="M117" s="114"/>
      <c r="N117" s="200">
        <f>IF(L114="",ROUND((N113+N116)/5,2)*5,ROUND((N116+N115)/5,2)*5)</f>
        <v>0</v>
      </c>
      <c r="O117" s="200"/>
    </row>
    <row r="118" spans="1:15" x14ac:dyDescent="0.2">
      <c r="I118"/>
      <c r="J118"/>
      <c r="K118"/>
      <c r="L118"/>
      <c r="N118" s="115"/>
      <c r="O118" s="115"/>
    </row>
    <row r="119" spans="1:15" ht="14.25" customHeight="1" x14ac:dyDescent="0.2">
      <c r="A119" s="199" t="str">
        <f>IF(L2="Deutsch",DATEN!I34,DATEN!J34)</f>
        <v>Bitte beachten Sie unsere neuen allgemeinen Vertragsbedingungen (Ausgabe 09/2022), welche Bestandteil Ihrer Bestellung werden.
Freundliche Grüsse
Jansen AG</v>
      </c>
      <c r="B119" s="199"/>
      <c r="C119" s="199"/>
      <c r="D119" s="199"/>
      <c r="E119" s="199"/>
      <c r="F119" s="199"/>
      <c r="G119" s="199"/>
      <c r="H119" s="199"/>
      <c r="I119" s="199"/>
      <c r="J119" s="199"/>
      <c r="K119" s="199"/>
      <c r="L119" s="199"/>
      <c r="M119" s="199"/>
      <c r="N119" s="199"/>
      <c r="O119" s="199"/>
    </row>
    <row r="120" spans="1:15" x14ac:dyDescent="0.2">
      <c r="A120" s="199"/>
      <c r="B120" s="199"/>
      <c r="C120" s="199"/>
      <c r="D120" s="199"/>
      <c r="E120" s="199"/>
      <c r="F120" s="199"/>
      <c r="G120" s="199"/>
      <c r="H120" s="199"/>
      <c r="I120" s="199"/>
      <c r="J120" s="199"/>
      <c r="K120" s="199"/>
      <c r="L120" s="199"/>
      <c r="M120" s="199"/>
      <c r="N120" s="199"/>
      <c r="O120" s="199"/>
    </row>
    <row r="121" spans="1:15" x14ac:dyDescent="0.2">
      <c r="A121" s="199"/>
      <c r="B121" s="199"/>
      <c r="C121" s="199"/>
      <c r="D121" s="199"/>
      <c r="E121" s="199"/>
      <c r="F121" s="199"/>
      <c r="G121" s="199"/>
      <c r="H121" s="199"/>
      <c r="I121" s="199"/>
      <c r="J121" s="199"/>
      <c r="K121" s="199"/>
      <c r="L121" s="199"/>
      <c r="M121" s="199"/>
      <c r="N121" s="199"/>
      <c r="O121" s="199"/>
    </row>
    <row r="122" spans="1:15" x14ac:dyDescent="0.2">
      <c r="A122" s="199"/>
      <c r="B122" s="199"/>
      <c r="C122" s="199"/>
      <c r="D122" s="199"/>
      <c r="E122" s="199"/>
      <c r="F122" s="199"/>
      <c r="G122" s="199"/>
      <c r="H122" s="199"/>
      <c r="I122" s="199"/>
      <c r="J122" s="199"/>
      <c r="K122" s="199"/>
      <c r="L122" s="199"/>
      <c r="M122" s="199"/>
      <c r="N122" s="199"/>
      <c r="O122" s="199"/>
    </row>
    <row r="123" spans="1:15" x14ac:dyDescent="0.2">
      <c r="A123" s="199"/>
      <c r="B123" s="199"/>
      <c r="C123" s="199"/>
      <c r="D123" s="199"/>
      <c r="E123" s="199"/>
      <c r="F123" s="199"/>
      <c r="G123" s="199"/>
      <c r="H123" s="199"/>
      <c r="I123" s="199"/>
      <c r="J123" s="199"/>
      <c r="K123" s="199"/>
      <c r="L123" s="199"/>
      <c r="M123" s="199"/>
      <c r="N123" s="199"/>
      <c r="O123" s="199"/>
    </row>
    <row r="124" spans="1:15" x14ac:dyDescent="0.2">
      <c r="A124" s="199"/>
      <c r="B124" s="199"/>
      <c r="C124" s="199"/>
      <c r="D124" s="199"/>
      <c r="E124" s="199"/>
      <c r="F124" s="199"/>
      <c r="G124" s="199"/>
      <c r="H124" s="199"/>
      <c r="I124" s="199"/>
      <c r="J124" s="199"/>
      <c r="K124" s="199"/>
      <c r="L124" s="199"/>
      <c r="M124" s="199"/>
      <c r="N124" s="199"/>
      <c r="O124" s="199"/>
    </row>
    <row r="125" spans="1:15" x14ac:dyDescent="0.2">
      <c r="A125" s="139" t="str">
        <f>A67</f>
        <v>V9.5</v>
      </c>
    </row>
  </sheetData>
  <sheetProtection algorithmName="SHA-512" hashValue="Ub1WQsbrEwhXM+Cj5+END5sDpwNimiD8acbOtkgMRFx+B4v2CpaaWc6zAQ/9qvx2buh9xWzP0jDgLtLAgubXzg==" saltValue="LU1mKGWYXCgTsghk7rfg7g==" spinCount="100000" sheet="1" objects="1" scenarios="1"/>
  <mergeCells count="154">
    <mergeCell ref="A49:A50"/>
    <mergeCell ref="A53:A54"/>
    <mergeCell ref="A57:A58"/>
    <mergeCell ref="A61:A62"/>
    <mergeCell ref="A65:A66"/>
    <mergeCell ref="C33:D33"/>
    <mergeCell ref="C37:D37"/>
    <mergeCell ref="C41:D41"/>
    <mergeCell ref="C45:D45"/>
    <mergeCell ref="C49:D49"/>
    <mergeCell ref="C53:D53"/>
    <mergeCell ref="C57:D57"/>
    <mergeCell ref="C61:D61"/>
    <mergeCell ref="C65:D65"/>
    <mergeCell ref="A39:A40"/>
    <mergeCell ref="A43:A44"/>
    <mergeCell ref="A47:A48"/>
    <mergeCell ref="A51:A52"/>
    <mergeCell ref="A55:A56"/>
    <mergeCell ref="A59:A60"/>
    <mergeCell ref="A63:A64"/>
    <mergeCell ref="G104:I104"/>
    <mergeCell ref="C9:G9"/>
    <mergeCell ref="C10:G10"/>
    <mergeCell ref="A13:B13"/>
    <mergeCell ref="A12:B12"/>
    <mergeCell ref="K104:M104"/>
    <mergeCell ref="N104:O104"/>
    <mergeCell ref="G106:I106"/>
    <mergeCell ref="A119:O124"/>
    <mergeCell ref="G110:I110"/>
    <mergeCell ref="K110:M110"/>
    <mergeCell ref="N110:O110"/>
    <mergeCell ref="G112:I112"/>
    <mergeCell ref="K112:M112"/>
    <mergeCell ref="N112:O112"/>
    <mergeCell ref="G108:I108"/>
    <mergeCell ref="K108:M108"/>
    <mergeCell ref="N108:O108"/>
    <mergeCell ref="N117:O117"/>
    <mergeCell ref="N113:O113"/>
    <mergeCell ref="N114:O114"/>
    <mergeCell ref="N115:O115"/>
    <mergeCell ref="N116:O116"/>
    <mergeCell ref="K106:M106"/>
    <mergeCell ref="N106:O106"/>
    <mergeCell ref="K80:M80"/>
    <mergeCell ref="N76:O76"/>
    <mergeCell ref="N78:O78"/>
    <mergeCell ref="N82:O82"/>
    <mergeCell ref="A1:G1"/>
    <mergeCell ref="A15:O16"/>
    <mergeCell ref="K92:M92"/>
    <mergeCell ref="N92:O92"/>
    <mergeCell ref="A2:B2"/>
    <mergeCell ref="A3:B3"/>
    <mergeCell ref="A4:B4"/>
    <mergeCell ref="A5:B5"/>
    <mergeCell ref="C2:G2"/>
    <mergeCell ref="C3:G3"/>
    <mergeCell ref="C4:G4"/>
    <mergeCell ref="C5:G5"/>
    <mergeCell ref="A7:G7"/>
    <mergeCell ref="A11:G11"/>
    <mergeCell ref="A6:B6"/>
    <mergeCell ref="C6:G6"/>
    <mergeCell ref="A8:B8"/>
    <mergeCell ref="A9:B9"/>
    <mergeCell ref="A10:B10"/>
    <mergeCell ref="C8:G8"/>
    <mergeCell ref="A14:B14"/>
    <mergeCell ref="C12:G12"/>
    <mergeCell ref="C13:G13"/>
    <mergeCell ref="G74:I74"/>
    <mergeCell ref="K25:N25"/>
    <mergeCell ref="N74:O74"/>
    <mergeCell ref="H13:I13"/>
    <mergeCell ref="A27:A28"/>
    <mergeCell ref="A31:A32"/>
    <mergeCell ref="A35:A36"/>
    <mergeCell ref="A29:A30"/>
    <mergeCell ref="A33:A34"/>
    <mergeCell ref="A37:A38"/>
    <mergeCell ref="A41:A42"/>
    <mergeCell ref="A45:A46"/>
    <mergeCell ref="A25:A26"/>
    <mergeCell ref="B25:B26"/>
    <mergeCell ref="C25:D25"/>
    <mergeCell ref="C27:D27"/>
    <mergeCell ref="E25:E26"/>
    <mergeCell ref="C31:D31"/>
    <mergeCell ref="C35:D35"/>
    <mergeCell ref="C39:D39"/>
    <mergeCell ref="N96:O96"/>
    <mergeCell ref="C14:G14"/>
    <mergeCell ref="K73:M73"/>
    <mergeCell ref="K74:M74"/>
    <mergeCell ref="G73:I73"/>
    <mergeCell ref="G88:I88"/>
    <mergeCell ref="K88:M88"/>
    <mergeCell ref="N88:O88"/>
    <mergeCell ref="G84:I84"/>
    <mergeCell ref="N94:O94"/>
    <mergeCell ref="C43:D43"/>
    <mergeCell ref="C47:D47"/>
    <mergeCell ref="C51:D51"/>
    <mergeCell ref="C55:D55"/>
    <mergeCell ref="C59:D59"/>
    <mergeCell ref="C63:D63"/>
    <mergeCell ref="K84:M84"/>
    <mergeCell ref="N84:O84"/>
    <mergeCell ref="B69:O70"/>
    <mergeCell ref="G86:I86"/>
    <mergeCell ref="K86:M86"/>
    <mergeCell ref="N86:O86"/>
    <mergeCell ref="N80:O80"/>
    <mergeCell ref="C29:D29"/>
    <mergeCell ref="K102:M102"/>
    <mergeCell ref="G92:I92"/>
    <mergeCell ref="G98:I98"/>
    <mergeCell ref="K98:M98"/>
    <mergeCell ref="G90:I90"/>
    <mergeCell ref="K90:M90"/>
    <mergeCell ref="G100:I100"/>
    <mergeCell ref="K100:M100"/>
    <mergeCell ref="K94:M94"/>
    <mergeCell ref="G96:I96"/>
    <mergeCell ref="K96:M96"/>
    <mergeCell ref="G94:I94"/>
    <mergeCell ref="G102:I102"/>
    <mergeCell ref="N98:O98"/>
    <mergeCell ref="N102:O102"/>
    <mergeCell ref="N90:O90"/>
    <mergeCell ref="N100:O100"/>
    <mergeCell ref="H1:O1"/>
    <mergeCell ref="H5:O5"/>
    <mergeCell ref="H2:K2"/>
    <mergeCell ref="L2:O2"/>
    <mergeCell ref="H4:K4"/>
    <mergeCell ref="H12:O12"/>
    <mergeCell ref="H11:O11"/>
    <mergeCell ref="H6:O10"/>
    <mergeCell ref="K82:M82"/>
    <mergeCell ref="G76:I76"/>
    <mergeCell ref="G78:I78"/>
    <mergeCell ref="K76:M76"/>
    <mergeCell ref="K78:M78"/>
    <mergeCell ref="G80:I80"/>
    <mergeCell ref="G82:I82"/>
    <mergeCell ref="N73:O73"/>
    <mergeCell ref="L3:O3"/>
    <mergeCell ref="L4:O4"/>
    <mergeCell ref="H3:K3"/>
    <mergeCell ref="K13:O13"/>
  </mergeCells>
  <phoneticPr fontId="8" type="noConversion"/>
  <conditionalFormatting sqref="J27">
    <cfRule type="expression" dxfId="21" priority="76">
      <formula>$J27&lt;&gt;""</formula>
    </cfRule>
  </conditionalFormatting>
  <conditionalFormatting sqref="J29">
    <cfRule type="expression" dxfId="20" priority="19">
      <formula>$J29&lt;&gt;""</formula>
    </cfRule>
  </conditionalFormatting>
  <conditionalFormatting sqref="J31">
    <cfRule type="expression" dxfId="19" priority="18">
      <formula>$J31&lt;&gt;""</formula>
    </cfRule>
  </conditionalFormatting>
  <conditionalFormatting sqref="J33">
    <cfRule type="expression" dxfId="18" priority="17">
      <formula>$J33&lt;&gt;""</formula>
    </cfRule>
  </conditionalFormatting>
  <conditionalFormatting sqref="J35">
    <cfRule type="expression" dxfId="17" priority="16">
      <formula>$J35&lt;&gt;""</formula>
    </cfRule>
  </conditionalFormatting>
  <conditionalFormatting sqref="J37">
    <cfRule type="expression" dxfId="16" priority="15">
      <formula>$J37&lt;&gt;""</formula>
    </cfRule>
  </conditionalFormatting>
  <conditionalFormatting sqref="J39">
    <cfRule type="expression" dxfId="15" priority="14">
      <formula>$J39&lt;&gt;""</formula>
    </cfRule>
  </conditionalFormatting>
  <conditionalFormatting sqref="J41">
    <cfRule type="expression" dxfId="14" priority="13">
      <formula>$J41&lt;&gt;""</formula>
    </cfRule>
  </conditionalFormatting>
  <conditionalFormatting sqref="J43">
    <cfRule type="expression" dxfId="13" priority="12">
      <formula>$J43&lt;&gt;""</formula>
    </cfRule>
  </conditionalFormatting>
  <conditionalFormatting sqref="J45">
    <cfRule type="expression" dxfId="12" priority="11">
      <formula>$J45&lt;&gt;""</formula>
    </cfRule>
  </conditionalFormatting>
  <conditionalFormatting sqref="J47">
    <cfRule type="expression" dxfId="11" priority="10">
      <formula>$J47&lt;&gt;""</formula>
    </cfRule>
  </conditionalFormatting>
  <conditionalFormatting sqref="J49">
    <cfRule type="expression" dxfId="10" priority="9">
      <formula>$J49&lt;&gt;""</formula>
    </cfRule>
  </conditionalFormatting>
  <conditionalFormatting sqref="J51">
    <cfRule type="expression" dxfId="9" priority="8">
      <formula>$J51&lt;&gt;""</formula>
    </cfRule>
  </conditionalFormatting>
  <conditionalFormatting sqref="J53">
    <cfRule type="expression" dxfId="8" priority="7">
      <formula>$J53&lt;&gt;""</formula>
    </cfRule>
  </conditionalFormatting>
  <conditionalFormatting sqref="J55">
    <cfRule type="expression" dxfId="7" priority="6">
      <formula>$J55&lt;&gt;""</formula>
    </cfRule>
  </conditionalFormatting>
  <conditionalFormatting sqref="J57">
    <cfRule type="expression" dxfId="6" priority="5">
      <formula>$J57&lt;&gt;""</formula>
    </cfRule>
  </conditionalFormatting>
  <conditionalFormatting sqref="J59">
    <cfRule type="expression" dxfId="5" priority="4">
      <formula>$J59&lt;&gt;""</formula>
    </cfRule>
  </conditionalFormatting>
  <conditionalFormatting sqref="J61">
    <cfRule type="expression" dxfId="4" priority="3">
      <formula>$J61&lt;&gt;""</formula>
    </cfRule>
  </conditionalFormatting>
  <conditionalFormatting sqref="J63">
    <cfRule type="expression" dxfId="3" priority="2">
      <formula>$J63&lt;&gt;""</formula>
    </cfRule>
  </conditionalFormatting>
  <conditionalFormatting sqref="J65">
    <cfRule type="expression" dxfId="2" priority="1">
      <formula>$J65&lt;&gt;""</formula>
    </cfRule>
  </conditionalFormatting>
  <printOptions horizontalCentered="1"/>
  <pageMargins left="0.27559055118110237" right="0.27559055118110237" top="0.74803149606299213" bottom="0.74803149606299213" header="0.31496062992125984" footer="0.31496062992125984"/>
  <pageSetup paperSize="9" scale="65" fitToHeight="2" orientation="portrait" r:id="rId1"/>
  <headerFooter>
    <oddHeader>&amp;R&amp;G</oddHeader>
    <oddFooter>&amp;LDuckdatum: &amp;D
&amp;F&amp;R&amp;P/&amp;N</oddFooter>
  </headerFooter>
  <rowBreaks count="1" manualBreakCount="1">
    <brk id="67" max="14" man="1"/>
  </row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D9B58E7D-4EE7-44F2-85F7-2A54F32C060E}">
          <x14:formula1>
            <xm:f>DATEN!$A$3:$A$10</xm:f>
          </x14:formula1>
          <xm:sqref>K29:N29 K31:N31 K33:N33 K27:N27 K35:N35 K37:N37 K39:N39 K41:N41 K63:N63 K43:N43 K47:N47 K49:N49 K51:N51 K45:N45 K53:N53 K55:N55 K57:N57 K59:N59 K61:N61 K65:N65</xm:sqref>
        </x14:dataValidation>
        <x14:dataValidation type="list" allowBlank="1" showInputMessage="1" showErrorMessage="1" xr:uid="{99254CFB-E13E-46B3-97CD-2DFFDAC1CBCE}">
          <x14:formula1>
            <xm:f>DATEN!$I$1:$J$1</xm:f>
          </x14:formula1>
          <xm:sqref>L2:O2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DAF58-A72C-4D9A-81D6-C04EE62E2178}">
  <sheetPr codeName="Tabelle8"/>
  <dimension ref="A1:BV100"/>
  <sheetViews>
    <sheetView topLeftCell="A27" zoomScaleNormal="100" workbookViewId="0">
      <selection activeCell="AH4" sqref="AH4"/>
    </sheetView>
  </sheetViews>
  <sheetFormatPr baseColWidth="10" defaultColWidth="11" defaultRowHeight="14.25" x14ac:dyDescent="0.2"/>
  <cols>
    <col min="3" max="3" width="41" customWidth="1"/>
    <col min="9" max="9" width="46.75" bestFit="1" customWidth="1"/>
    <col min="10" max="10" width="57.625" bestFit="1" customWidth="1"/>
    <col min="16" max="16" width="24.625" customWidth="1"/>
    <col min="20" max="20" width="9.25" bestFit="1" customWidth="1"/>
    <col min="21" max="21" width="36.125" bestFit="1" customWidth="1"/>
    <col min="22" max="22" width="13.875" bestFit="1" customWidth="1"/>
    <col min="23" max="23" width="13.125" bestFit="1" customWidth="1"/>
    <col min="24" max="24" width="13.875" bestFit="1" customWidth="1"/>
    <col min="29" max="29" width="5.625" bestFit="1" customWidth="1"/>
    <col min="30" max="30" width="5.625" customWidth="1"/>
    <col min="31" max="31" width="8.875" customWidth="1"/>
    <col min="32" max="32" width="10.125" customWidth="1"/>
    <col min="33" max="33" width="14.375" customWidth="1"/>
    <col min="34" max="34" width="10.25" customWidth="1"/>
    <col min="35" max="35" width="8.875" customWidth="1"/>
    <col min="36" max="37" width="6.375" customWidth="1"/>
    <col min="38" max="38" width="16.5" customWidth="1"/>
    <col min="39" max="39" width="19.375" customWidth="1"/>
    <col min="40" max="40" width="18.375" customWidth="1"/>
    <col min="41" max="41" width="9.625" customWidth="1"/>
    <col min="42" max="42" width="24.125" customWidth="1"/>
    <col min="43" max="43" width="8.625" bestFit="1" customWidth="1"/>
    <col min="44" max="44" width="8.25" customWidth="1"/>
    <col min="45" max="58" width="7.75" customWidth="1"/>
    <col min="69" max="69" width="12.25" bestFit="1" customWidth="1"/>
  </cols>
  <sheetData>
    <row r="1" spans="1:74" ht="15" thickBot="1" x14ac:dyDescent="0.25">
      <c r="A1" t="s">
        <v>63</v>
      </c>
      <c r="F1" s="3" t="s">
        <v>20</v>
      </c>
      <c r="G1" s="4"/>
      <c r="I1" t="s">
        <v>3</v>
      </c>
      <c r="J1" t="s">
        <v>64</v>
      </c>
      <c r="T1" s="205" t="s">
        <v>65</v>
      </c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92"/>
      <c r="BM1" t="s">
        <v>195</v>
      </c>
    </row>
    <row r="2" spans="1:74" ht="28.5" x14ac:dyDescent="0.2">
      <c r="A2" s="4" t="s">
        <v>53</v>
      </c>
      <c r="B2" s="3" t="s">
        <v>66</v>
      </c>
      <c r="C2" s="3" t="s">
        <v>55</v>
      </c>
      <c r="D2" s="4"/>
      <c r="F2" s="3"/>
      <c r="G2" s="4"/>
      <c r="I2" t="s">
        <v>67</v>
      </c>
      <c r="J2" t="s">
        <v>68</v>
      </c>
      <c r="M2" s="206" t="s">
        <v>76</v>
      </c>
      <c r="N2" s="206"/>
      <c r="O2" s="206"/>
      <c r="P2" s="206"/>
      <c r="Q2" s="206"/>
      <c r="R2" s="206"/>
      <c r="T2" s="51"/>
      <c r="U2" s="52"/>
      <c r="V2" s="52"/>
      <c r="W2" s="60">
        <v>45200</v>
      </c>
      <c r="X2" s="52"/>
      <c r="Y2" s="52"/>
      <c r="Z2" s="52"/>
      <c r="AA2" s="53"/>
      <c r="AB2" s="52">
        <v>5</v>
      </c>
      <c r="AC2" s="202">
        <f>'Bestellung Commande'!A27</f>
        <v>1</v>
      </c>
      <c r="AD2" s="76" t="s">
        <v>178</v>
      </c>
      <c r="AE2" s="67"/>
      <c r="AF2" s="61" t="str">
        <f>VLOOKUP(AF3,DATEN!$T$2:$AA$30,2,FALSE)</f>
        <v>Aluprofil</v>
      </c>
      <c r="AG2" s="61" t="str">
        <f>VLOOKUP(AG3,DATEN!$T$2:$AA$30,2,FALSE)</f>
        <v>KS-Trittschwelle</v>
      </c>
      <c r="AH2" s="61" t="s">
        <v>69</v>
      </c>
      <c r="AI2" s="61" t="s">
        <v>70</v>
      </c>
      <c r="AJ2" s="61" t="s">
        <v>71</v>
      </c>
      <c r="AK2" s="61" t="s">
        <v>72</v>
      </c>
      <c r="AL2" s="61" t="str">
        <f>VLOOKUP(AL3,DATEN!$T$2:$AA$30,2,FALSE)</f>
        <v>Anschlussdichtung</v>
      </c>
      <c r="AM2" s="61" t="str">
        <f>VLOOKUP(AM3,DATEN!$T$2:$AA$30,2,FALSE)</f>
        <v>Linsenschaube 4.8x28</v>
      </c>
      <c r="AN2" s="61" t="str">
        <f>VLOOKUP(AN3,DATEN!$T$2:$AA$30,2,FALSE)</f>
        <v>KS-Kupplungselemnt</v>
      </c>
      <c r="AO2" s="61" t="str">
        <f>VLOOKUP(AO3,DATEN!$T$2:$AA$30,2,FALSE)</f>
        <v>Dichtstück</v>
      </c>
      <c r="AP2" s="61" t="str">
        <f>VLOOKUP(AP3,DATEN!$T$2:$AA$30,2,FALSE)</f>
        <v>Endstück mit Entwässerung</v>
      </c>
      <c r="AQ2" s="61" t="s">
        <v>199</v>
      </c>
      <c r="AR2" s="145"/>
      <c r="AS2" s="73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5"/>
      <c r="BF2" s="17" t="s">
        <v>200</v>
      </c>
      <c r="BG2" t="s">
        <v>73</v>
      </c>
      <c r="BL2" s="52"/>
      <c r="BM2" s="207">
        <f>AC2</f>
        <v>1</v>
      </c>
      <c r="BN2" s="76" t="s">
        <v>178</v>
      </c>
      <c r="BO2" s="67" t="s">
        <v>13</v>
      </c>
      <c r="BP2" s="67" t="s">
        <v>23</v>
      </c>
      <c r="BQ2" s="67" t="s">
        <v>193</v>
      </c>
      <c r="BR2" s="67" t="s">
        <v>194</v>
      </c>
      <c r="BS2" s="67"/>
      <c r="BT2" s="67"/>
      <c r="BU2" s="67"/>
      <c r="BV2" s="95" t="s">
        <v>8</v>
      </c>
    </row>
    <row r="3" spans="1:74" ht="14.25" customHeight="1" x14ac:dyDescent="0.2">
      <c r="A3" s="49">
        <v>0</v>
      </c>
      <c r="B3" s="58"/>
      <c r="C3" s="1"/>
      <c r="D3" s="1"/>
      <c r="F3" s="3" t="s">
        <v>21</v>
      </c>
      <c r="G3" s="5">
        <v>27</v>
      </c>
      <c r="I3" s="7" t="s">
        <v>74</v>
      </c>
      <c r="J3" s="7" t="s">
        <v>75</v>
      </c>
      <c r="M3" s="35"/>
      <c r="N3" s="35"/>
      <c r="O3" s="35"/>
      <c r="P3" s="35"/>
      <c r="Q3" s="35"/>
      <c r="R3" s="210" t="s">
        <v>201</v>
      </c>
      <c r="T3" s="54" t="s">
        <v>77</v>
      </c>
      <c r="U3" t="s">
        <v>55</v>
      </c>
      <c r="W3" t="s">
        <v>78</v>
      </c>
      <c r="X3" t="s">
        <v>79</v>
      </c>
      <c r="Y3" t="s">
        <v>80</v>
      </c>
      <c r="Z3" t="s">
        <v>81</v>
      </c>
      <c r="AA3" s="55"/>
      <c r="AB3">
        <v>31</v>
      </c>
      <c r="AC3" s="203"/>
      <c r="AD3" s="77">
        <f>'Bestellung Commande'!E27</f>
        <v>0</v>
      </c>
      <c r="AE3" s="9" t="s">
        <v>77</v>
      </c>
      <c r="AF3" s="62" t="s">
        <v>12</v>
      </c>
      <c r="AG3" s="62" t="s">
        <v>15</v>
      </c>
      <c r="AH3" s="63">
        <f>VLOOKUP('Bestellung Commande'!K27,DATEN!$A$3:$D$10,2,FALSE)</f>
        <v>0</v>
      </c>
      <c r="AI3" s="63">
        <f>VLOOKUP('Bestellung Commande'!L27,DATEN!$A$3:$D$10,2,FALSE)</f>
        <v>0</v>
      </c>
      <c r="AJ3" s="63">
        <f>VLOOKUP('Bestellung Commande'!M27,DATEN!$A$3:$D$10,2,FALSE)</f>
        <v>0</v>
      </c>
      <c r="AK3" s="63">
        <f>VLOOKUP('Bestellung Commande'!N27,DATEN!$A$3:$D$10,2,FALSE)</f>
        <v>0</v>
      </c>
      <c r="AL3" s="62" t="s">
        <v>82</v>
      </c>
      <c r="AM3" s="62" t="s">
        <v>83</v>
      </c>
      <c r="AN3" s="62" t="s">
        <v>84</v>
      </c>
      <c r="AO3" s="62" t="s">
        <v>85</v>
      </c>
      <c r="AP3" s="62" t="s">
        <v>86</v>
      </c>
      <c r="AQ3" s="62" t="str">
        <f>IF(ISNA('Pos1'!F$31),"",'Pos1'!F$31)</f>
        <v/>
      </c>
      <c r="AR3" s="62" t="str">
        <f>IF(ISNA('Pos1'!G$31),"",'Pos1'!G$31)</f>
        <v/>
      </c>
      <c r="AS3" s="81" t="str">
        <f>$T$18</f>
        <v>Rüsten</v>
      </c>
      <c r="AT3" s="62" t="str">
        <f>$T$19</f>
        <v>Sägen</v>
      </c>
      <c r="AU3" s="62" t="str">
        <f>$T$20</f>
        <v>Bohren</v>
      </c>
      <c r="AV3" s="62" t="str">
        <f>$T$21</f>
        <v>Kleben</v>
      </c>
      <c r="AW3" s="62" t="str">
        <f>$T$22</f>
        <v>Montage</v>
      </c>
      <c r="AX3" s="62" t="str">
        <f>$T$23</f>
        <v>Spedi</v>
      </c>
      <c r="AY3" s="62" t="str">
        <f>$T$24</f>
        <v>Steg</v>
      </c>
      <c r="AZ3" s="62" t="str">
        <f>$T$25</f>
        <v>Job 8</v>
      </c>
      <c r="BA3" s="62" t="str">
        <f>$T$26</f>
        <v>Job 9</v>
      </c>
      <c r="BB3" s="62" t="str">
        <f>$T$27</f>
        <v>Job 10</v>
      </c>
      <c r="BC3" s="62" t="str">
        <f>$T$28</f>
        <v>Job 11</v>
      </c>
      <c r="BD3" s="62" t="str">
        <f>$T$29</f>
        <v>Job 12</v>
      </c>
      <c r="BE3" s="66" t="str">
        <f>$T$30</f>
        <v>Job 13</v>
      </c>
      <c r="BF3" s="93"/>
      <c r="BG3" t="s">
        <v>91</v>
      </c>
      <c r="BM3" s="208"/>
      <c r="BQ3" s="9"/>
      <c r="BR3" s="9"/>
      <c r="BS3" s="9"/>
      <c r="BT3" s="9"/>
      <c r="BU3" s="9"/>
      <c r="BV3" s="90"/>
    </row>
    <row r="4" spans="1:74" ht="15" customHeight="1" x14ac:dyDescent="0.25">
      <c r="A4" s="50">
        <v>26</v>
      </c>
      <c r="B4" s="58" t="s">
        <v>92</v>
      </c>
      <c r="C4" s="47" t="s">
        <v>93</v>
      </c>
      <c r="D4" s="4"/>
      <c r="F4" s="3" t="s">
        <v>22</v>
      </c>
      <c r="G4" s="5"/>
      <c r="I4" t="s">
        <v>94</v>
      </c>
      <c r="J4" t="s">
        <v>95</v>
      </c>
      <c r="M4" s="35"/>
      <c r="N4" s="35"/>
      <c r="O4" s="35"/>
      <c r="P4" s="35"/>
      <c r="Q4" s="35"/>
      <c r="R4" s="210"/>
      <c r="T4" s="54" t="s">
        <v>12</v>
      </c>
      <c r="U4" t="s">
        <v>96</v>
      </c>
      <c r="W4" s="103">
        <v>73.680000000000007</v>
      </c>
      <c r="X4" t="s">
        <v>97</v>
      </c>
      <c r="Y4">
        <v>1</v>
      </c>
      <c r="AA4" s="55"/>
      <c r="AC4" s="203"/>
      <c r="AD4" s="77"/>
      <c r="AE4" s="70">
        <f>IF(ISERROR(SUM(AF4:BF4)),0,SUM(AF4:BF4))</f>
        <v>0</v>
      </c>
      <c r="AF4" s="71">
        <f>IF(ISERROR(VLOOKUP(AF3,DATEN!$T$3:$AA$30,4,FALSE)),0,VLOOKUP(AF3,DATEN!$T$3:$AA$30,4,FALSE)*(AF5))</f>
        <v>0</v>
      </c>
      <c r="AG4" s="71">
        <f>IF(ISERROR(VLOOKUP(AG3,DATEN!$T$3:$AA$30,4,FALSE)),0,VLOOKUP(AG3,DATEN!$T$3:$AA$30,4,FALSE)*(AG5))</f>
        <v>0</v>
      </c>
      <c r="AH4" s="71">
        <f>IF(ISERROR(VLOOKUP(AH3,DATEN!$T$3:$AA$30,4,FALSE)),0,VLOOKUP(AH3,DATEN!$T$3:$AA$30,4,FALSE)*(AH5))</f>
        <v>0</v>
      </c>
      <c r="AI4" s="71">
        <f>IF(ISERROR(VLOOKUP(AI3,DATEN!$T$3:$AA$30,4,FALSE)),0,VLOOKUP(AI3,DATEN!$T$3:$AA$30,4,FALSE)*(AI5))</f>
        <v>0</v>
      </c>
      <c r="AJ4" s="71">
        <f>IF(ISERROR(VLOOKUP(AJ3,DATEN!$T$3:$AA$30,4,FALSE)),0,VLOOKUP(AJ3,DATEN!$T$3:$AA$30,4,FALSE)*(AJ5))</f>
        <v>0</v>
      </c>
      <c r="AK4" s="71">
        <f>IF(ISERROR(VLOOKUP(AK3,DATEN!$T$3:$AA$30,4,FALSE)),0,VLOOKUP(AK3,DATEN!$T$3:$AA$30,4,FALSE)*(AK5))</f>
        <v>0</v>
      </c>
      <c r="AL4" s="71">
        <f>IF(ISERROR(VLOOKUP(AL3,DATEN!$T$3:$AA$30,4,FALSE)),0,VLOOKUP(AL3,DATEN!$T$3:$AA$30,4,FALSE)*(AL5))</f>
        <v>0</v>
      </c>
      <c r="AM4" s="71">
        <f>IF(ISERROR(VLOOKUP(AM3,DATEN!$T$3:$AA$30,4,FALSE)),0,VLOOKUP(AM3,DATEN!$T$3:$AA$30,4,FALSE)*(AM5))</f>
        <v>0.32640000000000002</v>
      </c>
      <c r="AN4" s="71">
        <f>IF(ISERROR(VLOOKUP(AN3,DATEN!$T$3:$AA$30,4,FALSE)),0,VLOOKUP(AN3,DATEN!$T$3:$AA$30,4,FALSE)*(AN5))</f>
        <v>0</v>
      </c>
      <c r="AO4" s="71">
        <f>IF(ISERROR(VLOOKUP(AO3,DATEN!$T$3:$AA$30,4,FALSE)),0,VLOOKUP(AO3,DATEN!$T$3:$AA$30,4,FALSE)*(AO5))</f>
        <v>4.0104000000000006</v>
      </c>
      <c r="AP4" s="71">
        <f>IF(ISERROR(VLOOKUP(AP3,DATEN!$T$3:$AA$30,4,FALSE)),0,VLOOKUP(AP3,DATEN!$T$3:$AA$30,4,FALSE)*(AP5))</f>
        <v>59.22</v>
      </c>
      <c r="AQ4" s="71">
        <f>IF(ISNA(VLOOKUP(AQ3,$M$7:$R$14,6,FALSE)),0,VLOOKUP(AQ3,$M$7:$R$14,6,FALSE))</f>
        <v>0</v>
      </c>
      <c r="AR4" s="71">
        <f>IF(ISNA(VLOOKUP(AR3,$M$7:$R$14,6,FALSE)),0,VLOOKUP(AR3,$M$7:$R$14,6,FALSE))</f>
        <v>0</v>
      </c>
      <c r="AS4" s="82" t="e">
        <f>(VLOOKUP(AS3,$T$2:$AA$30,3,FALSE)/$AD3)+(VLOOKUP(AS3,$T$2:$AA$30,4,FALSE))+((VLOOKUP(AS3,$T$2:$AA$30,5,FALSE))/(AD3+AD8+AD13+AD18+AD23))</f>
        <v>#DIV/0!</v>
      </c>
      <c r="AT4" s="71" t="e">
        <f t="shared" ref="AT4:BE4" si="0">(VLOOKUP(AT3,$T$2:$AA$30,3,FALSE)/$AD3)+(VLOOKUP(AT3,$T$2:$AA$30,4,FALSE))</f>
        <v>#DIV/0!</v>
      </c>
      <c r="AU4" s="71" t="e">
        <f t="shared" si="0"/>
        <v>#DIV/0!</v>
      </c>
      <c r="AV4" s="71" t="e">
        <f t="shared" si="0"/>
        <v>#DIV/0!</v>
      </c>
      <c r="AW4" s="71" t="e">
        <f t="shared" si="0"/>
        <v>#DIV/0!</v>
      </c>
      <c r="AX4" s="71" t="e">
        <f t="shared" si="0"/>
        <v>#DIV/0!</v>
      </c>
      <c r="AY4" s="71" t="e">
        <f t="shared" si="0"/>
        <v>#DIV/0!</v>
      </c>
      <c r="AZ4" s="71" t="e">
        <f t="shared" si="0"/>
        <v>#DIV/0!</v>
      </c>
      <c r="BA4" s="71" t="e">
        <f t="shared" si="0"/>
        <v>#DIV/0!</v>
      </c>
      <c r="BB4" s="71" t="e">
        <f t="shared" si="0"/>
        <v>#DIV/0!</v>
      </c>
      <c r="BC4" s="71" t="e">
        <f t="shared" si="0"/>
        <v>#DIV/0!</v>
      </c>
      <c r="BD4" s="71" t="e">
        <f t="shared" si="0"/>
        <v>#DIV/0!</v>
      </c>
      <c r="BE4" s="72" t="e">
        <f t="shared" si="0"/>
        <v>#DIV/0!</v>
      </c>
      <c r="BF4" s="94">
        <f>BV4</f>
        <v>0</v>
      </c>
      <c r="BG4" t="s">
        <v>98</v>
      </c>
      <c r="BM4" s="208"/>
      <c r="BN4" s="106">
        <f>AD3</f>
        <v>0</v>
      </c>
      <c r="BO4" s="70">
        <f>AF5</f>
        <v>0</v>
      </c>
      <c r="BP4" s="70">
        <f>COUNT('Bestellung Commande'!K27:N27)</f>
        <v>0</v>
      </c>
      <c r="BQ4" s="9">
        <f>BO4*BP4*$V$44*BN4</f>
        <v>0</v>
      </c>
      <c r="BR4" s="9">
        <f>BP4*$W$44*BN4</f>
        <v>0</v>
      </c>
      <c r="BS4" s="9"/>
      <c r="BT4" s="9"/>
      <c r="BU4" s="9"/>
      <c r="BV4" s="90">
        <f>SUM(BQ4:BU4)</f>
        <v>0</v>
      </c>
    </row>
    <row r="5" spans="1:74" ht="15" thickBot="1" x14ac:dyDescent="0.25">
      <c r="A5" s="50">
        <v>34</v>
      </c>
      <c r="B5" s="3" t="s">
        <v>99</v>
      </c>
      <c r="C5" s="47" t="s">
        <v>100</v>
      </c>
      <c r="D5" s="4"/>
      <c r="F5" s="3" t="s">
        <v>24</v>
      </c>
      <c r="G5" s="6" t="s">
        <v>101</v>
      </c>
      <c r="I5" s="7" t="s">
        <v>102</v>
      </c>
      <c r="J5" s="7" t="s">
        <v>103</v>
      </c>
      <c r="M5" s="35"/>
      <c r="N5" s="35" t="s">
        <v>104</v>
      </c>
      <c r="O5" s="35" t="s">
        <v>105</v>
      </c>
      <c r="P5" s="35"/>
      <c r="Q5" s="35"/>
      <c r="R5" s="211"/>
      <c r="T5" s="54" t="s">
        <v>15</v>
      </c>
      <c r="U5" t="s">
        <v>106</v>
      </c>
      <c r="W5" s="103">
        <v>13.66</v>
      </c>
      <c r="X5" t="s">
        <v>97</v>
      </c>
      <c r="Y5">
        <v>1</v>
      </c>
      <c r="AA5" s="55"/>
      <c r="AC5" s="204"/>
      <c r="AD5" s="78"/>
      <c r="AE5" s="68" t="s">
        <v>107</v>
      </c>
      <c r="AF5" s="69">
        <f>'Bestellung Commande'!$F$27/1000</f>
        <v>0</v>
      </c>
      <c r="AG5" s="69">
        <f>'Bestellung Commande'!$F$27/1000</f>
        <v>0</v>
      </c>
      <c r="AH5" s="69">
        <f>'Bestellung Commande'!$F$27/1000</f>
        <v>0</v>
      </c>
      <c r="AI5" s="69">
        <f>'Bestellung Commande'!$F$27/1000</f>
        <v>0</v>
      </c>
      <c r="AJ5" s="69">
        <f>'Bestellung Commande'!$F$27/1000</f>
        <v>0</v>
      </c>
      <c r="AK5" s="69">
        <f>'Bestellung Commande'!$F$27/1000</f>
        <v>0</v>
      </c>
      <c r="AL5" s="69">
        <f>'Bestellung Commande'!$F$27/1000</f>
        <v>0</v>
      </c>
      <c r="AM5" s="64">
        <v>2</v>
      </c>
      <c r="AN5" s="64">
        <v>0</v>
      </c>
      <c r="AO5" s="64">
        <v>2</v>
      </c>
      <c r="AP5" s="64">
        <v>2</v>
      </c>
      <c r="AQ5" s="80">
        <f>'Pos1'!$F$33</f>
        <v>0</v>
      </c>
      <c r="AR5" s="80">
        <f>'Pos1'!$G$33</f>
        <v>0</v>
      </c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83"/>
      <c r="BF5" s="93"/>
      <c r="BG5" t="s">
        <v>108</v>
      </c>
      <c r="BM5" s="209"/>
      <c r="BN5" s="78"/>
      <c r="BO5" s="68" t="s">
        <v>107</v>
      </c>
      <c r="BP5" s="68"/>
      <c r="BQ5" s="68"/>
      <c r="BR5" s="68"/>
      <c r="BS5" s="68"/>
      <c r="BT5" s="68"/>
      <c r="BU5" s="68"/>
      <c r="BV5" s="91"/>
    </row>
    <row r="6" spans="1:74" ht="15" thickBot="1" x14ac:dyDescent="0.25">
      <c r="A6" s="49">
        <v>44</v>
      </c>
      <c r="B6" s="58" t="s">
        <v>109</v>
      </c>
      <c r="C6" s="48" t="s">
        <v>110</v>
      </c>
      <c r="D6" s="1"/>
      <c r="F6" s="3" t="s">
        <v>26</v>
      </c>
      <c r="G6" s="6"/>
      <c r="I6" s="7" t="s">
        <v>111</v>
      </c>
      <c r="J6" s="7" t="s">
        <v>112</v>
      </c>
      <c r="L6">
        <v>0</v>
      </c>
      <c r="M6" s="1" t="s">
        <v>284</v>
      </c>
      <c r="N6" s="1">
        <v>-10000</v>
      </c>
      <c r="O6" s="1">
        <v>274.89999999999998</v>
      </c>
      <c r="P6" s="2" t="s">
        <v>285</v>
      </c>
      <c r="Q6" s="1"/>
      <c r="R6" s="109">
        <v>1000</v>
      </c>
      <c r="T6" s="54" t="s">
        <v>92</v>
      </c>
      <c r="U6" t="s">
        <v>93</v>
      </c>
      <c r="W6" s="103">
        <v>67.45</v>
      </c>
      <c r="X6" t="s">
        <v>97</v>
      </c>
      <c r="Y6">
        <v>1</v>
      </c>
      <c r="AA6" s="55"/>
      <c r="AC6" s="9"/>
      <c r="AD6" s="9"/>
      <c r="AE6" s="9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M6" s="9"/>
      <c r="BN6" s="9"/>
      <c r="BO6" s="9"/>
      <c r="BP6" s="9"/>
      <c r="BQ6" s="9"/>
      <c r="BR6" s="9"/>
      <c r="BS6" s="9"/>
      <c r="BT6" s="9"/>
      <c r="BU6" s="9"/>
      <c r="BV6" s="9"/>
    </row>
    <row r="7" spans="1:74" x14ac:dyDescent="0.2">
      <c r="A7" s="49">
        <v>54</v>
      </c>
      <c r="B7" s="59" t="s">
        <v>115</v>
      </c>
      <c r="C7" s="48" t="s">
        <v>116</v>
      </c>
      <c r="D7" s="1"/>
      <c r="F7" s="3" t="s">
        <v>30</v>
      </c>
      <c r="G7" s="6"/>
      <c r="I7" s="7" t="s">
        <v>117</v>
      </c>
      <c r="J7" s="7" t="s">
        <v>118</v>
      </c>
      <c r="L7">
        <v>1</v>
      </c>
      <c r="M7" s="1" t="s">
        <v>113</v>
      </c>
      <c r="N7" s="1">
        <v>275</v>
      </c>
      <c r="O7" s="1">
        <v>400</v>
      </c>
      <c r="P7" s="2" t="s">
        <v>114</v>
      </c>
      <c r="Q7" s="1">
        <v>2003531</v>
      </c>
      <c r="R7" s="109">
        <v>62.38</v>
      </c>
      <c r="T7" s="54" t="s">
        <v>99</v>
      </c>
      <c r="U7" t="s">
        <v>100</v>
      </c>
      <c r="W7" s="107">
        <v>72.86</v>
      </c>
      <c r="AA7" s="55"/>
      <c r="AC7" s="202">
        <f>'Bestellung Commande'!A29</f>
        <v>2</v>
      </c>
      <c r="AD7" s="76" t="s">
        <v>178</v>
      </c>
      <c r="AE7" s="67"/>
      <c r="AF7" s="61" t="str">
        <f>VLOOKUP(AF8,DATEN!$T$2:$AA$30,2,FALSE)</f>
        <v>Aluprofil</v>
      </c>
      <c r="AG7" s="61" t="str">
        <f>VLOOKUP(AG8,DATEN!$T$2:$AA$30,2,FALSE)</f>
        <v>KS-Trittschwelle</v>
      </c>
      <c r="AH7" s="61" t="s">
        <v>69</v>
      </c>
      <c r="AI7" s="61" t="s">
        <v>70</v>
      </c>
      <c r="AJ7" s="61" t="s">
        <v>71</v>
      </c>
      <c r="AK7" s="61" t="s">
        <v>72</v>
      </c>
      <c r="AL7" s="61" t="str">
        <f>VLOOKUP(AL8,DATEN!$T$2:$AA$30,2,FALSE)</f>
        <v>Anschlussdichtung</v>
      </c>
      <c r="AM7" s="61" t="str">
        <f>VLOOKUP(AM8,DATEN!$T$2:$AA$30,2,FALSE)</f>
        <v>Linsenschaube 4.8x28</v>
      </c>
      <c r="AN7" s="61" t="str">
        <f>VLOOKUP(AN8,DATEN!$T$2:$AA$30,2,FALSE)</f>
        <v>KS-Kupplungselemnt</v>
      </c>
      <c r="AO7" s="61" t="str">
        <f>VLOOKUP(AO8,DATEN!$T$2:$AA$30,2,FALSE)</f>
        <v>Dichtstück</v>
      </c>
      <c r="AP7" s="61" t="str">
        <f>VLOOKUP(AP8,DATEN!$T$2:$AA$30,2,FALSE)</f>
        <v>Endstück mit Entwässerung</v>
      </c>
      <c r="AQ7" s="61" t="s">
        <v>199</v>
      </c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5"/>
      <c r="BF7" s="17"/>
      <c r="BM7" s="207">
        <f>AC7</f>
        <v>2</v>
      </c>
      <c r="BN7" s="76" t="s">
        <v>178</v>
      </c>
      <c r="BO7" s="67" t="s">
        <v>13</v>
      </c>
      <c r="BP7" s="67" t="s">
        <v>23</v>
      </c>
      <c r="BQ7" s="67" t="s">
        <v>193</v>
      </c>
      <c r="BR7" s="67" t="s">
        <v>194</v>
      </c>
      <c r="BS7" s="67"/>
      <c r="BT7" s="67"/>
      <c r="BU7" s="67"/>
      <c r="BV7" s="95" t="s">
        <v>8</v>
      </c>
    </row>
    <row r="8" spans="1:74" x14ac:dyDescent="0.2">
      <c r="A8" s="50">
        <v>100</v>
      </c>
      <c r="B8" s="3" t="s">
        <v>121</v>
      </c>
      <c r="C8" s="45" t="s">
        <v>122</v>
      </c>
      <c r="D8" s="4"/>
      <c r="F8" s="3" t="s">
        <v>32</v>
      </c>
      <c r="G8" s="6"/>
      <c r="I8" s="7" t="s">
        <v>123</v>
      </c>
      <c r="J8" s="7" t="s">
        <v>124</v>
      </c>
      <c r="L8">
        <v>2</v>
      </c>
      <c r="M8" s="1" t="s">
        <v>119</v>
      </c>
      <c r="N8" s="1">
        <v>400</v>
      </c>
      <c r="O8" s="1">
        <v>550</v>
      </c>
      <c r="P8" s="2" t="s">
        <v>120</v>
      </c>
      <c r="Q8" s="1">
        <v>2003544</v>
      </c>
      <c r="R8" s="109">
        <v>64.040000000000006</v>
      </c>
      <c r="T8" s="54" t="s">
        <v>109</v>
      </c>
      <c r="U8" t="s">
        <v>110</v>
      </c>
      <c r="W8" s="107">
        <v>83.78</v>
      </c>
      <c r="AA8" s="55"/>
      <c r="AB8">
        <f>AB3+$AB$2</f>
        <v>36</v>
      </c>
      <c r="AC8" s="203"/>
      <c r="AD8" s="77">
        <f>'Bestellung Commande'!E29</f>
        <v>0</v>
      </c>
      <c r="AE8" s="9" t="s">
        <v>77</v>
      </c>
      <c r="AF8" s="62" t="s">
        <v>12</v>
      </c>
      <c r="AG8" s="62" t="s">
        <v>15</v>
      </c>
      <c r="AH8" s="63">
        <f>VLOOKUP('Bestellung Commande'!K29,DATEN!$A$3:$D$10,2,FALSE)</f>
        <v>0</v>
      </c>
      <c r="AI8" s="63">
        <f>VLOOKUP('Bestellung Commande'!L29,DATEN!$A$3:$D$10,2,FALSE)</f>
        <v>0</v>
      </c>
      <c r="AJ8" s="63">
        <f>VLOOKUP('Bestellung Commande'!M29,DATEN!$A$3:$D$10,2,FALSE)</f>
        <v>0</v>
      </c>
      <c r="AK8" s="63">
        <f>VLOOKUP('Bestellung Commande'!N29,DATEN!$A$3:$D$10,2,FALSE)</f>
        <v>0</v>
      </c>
      <c r="AL8" s="62" t="s">
        <v>82</v>
      </c>
      <c r="AM8" s="62" t="s">
        <v>83</v>
      </c>
      <c r="AN8" s="62" t="s">
        <v>84</v>
      </c>
      <c r="AO8" s="62" t="s">
        <v>85</v>
      </c>
      <c r="AP8" s="62" t="s">
        <v>86</v>
      </c>
      <c r="AQ8" s="62" t="str">
        <f>IF(ISNA('Pos2'!$F$31),"",'Pos2'!$F$31)</f>
        <v/>
      </c>
      <c r="AR8" s="62" t="str">
        <f>IF(ISNA('Pos2'!$F$31),"",'Pos2'!$F$31)</f>
        <v/>
      </c>
      <c r="AS8" s="81" t="str">
        <f>$T$18</f>
        <v>Rüsten</v>
      </c>
      <c r="AT8" s="62" t="str">
        <f>$T$19</f>
        <v>Sägen</v>
      </c>
      <c r="AU8" s="62" t="str">
        <f>$T$20</f>
        <v>Bohren</v>
      </c>
      <c r="AV8" s="62" t="str">
        <f>$T$21</f>
        <v>Kleben</v>
      </c>
      <c r="AW8" s="62" t="str">
        <f>$T$22</f>
        <v>Montage</v>
      </c>
      <c r="AX8" s="62" t="str">
        <f>$T$23</f>
        <v>Spedi</v>
      </c>
      <c r="AY8" s="62" t="str">
        <f>$T$24</f>
        <v>Steg</v>
      </c>
      <c r="AZ8" s="62" t="str">
        <f>$T$25</f>
        <v>Job 8</v>
      </c>
      <c r="BA8" s="62" t="str">
        <f>$T$26</f>
        <v>Job 9</v>
      </c>
      <c r="BB8" s="62" t="str">
        <f>$T$27</f>
        <v>Job 10</v>
      </c>
      <c r="BC8" s="62" t="str">
        <f>$T$28</f>
        <v>Job 11</v>
      </c>
      <c r="BD8" s="62" t="str">
        <f>$T$29</f>
        <v>Job 12</v>
      </c>
      <c r="BE8" s="66" t="str">
        <f>$T$30</f>
        <v>Job 13</v>
      </c>
      <c r="BF8" s="93"/>
      <c r="BM8" s="208"/>
      <c r="BO8" t="s">
        <v>77</v>
      </c>
      <c r="BQ8" s="9"/>
      <c r="BR8" s="9"/>
      <c r="BS8" s="9"/>
      <c r="BT8" s="9"/>
      <c r="BU8" s="9"/>
      <c r="BV8" s="90"/>
    </row>
    <row r="9" spans="1:74" ht="15" x14ac:dyDescent="0.25">
      <c r="A9" s="50"/>
      <c r="B9" s="3"/>
      <c r="C9" s="3"/>
      <c r="D9" s="4"/>
      <c r="F9" s="3" t="s">
        <v>34</v>
      </c>
      <c r="G9" s="6"/>
      <c r="I9" s="7" t="s">
        <v>127</v>
      </c>
      <c r="J9" s="7" t="s">
        <v>128</v>
      </c>
      <c r="L9">
        <v>3</v>
      </c>
      <c r="M9" s="1" t="s">
        <v>125</v>
      </c>
      <c r="N9" s="1">
        <v>550</v>
      </c>
      <c r="O9" s="1">
        <v>700</v>
      </c>
      <c r="P9" s="2" t="s">
        <v>126</v>
      </c>
      <c r="Q9" s="1">
        <v>2003550</v>
      </c>
      <c r="R9" s="109">
        <v>65.5</v>
      </c>
      <c r="T9" s="54" t="s">
        <v>115</v>
      </c>
      <c r="U9" t="s">
        <v>116</v>
      </c>
      <c r="W9" s="107">
        <v>98.26</v>
      </c>
      <c r="AA9" s="55"/>
      <c r="AC9" s="203"/>
      <c r="AD9" s="77"/>
      <c r="AE9" s="70">
        <f>IF(ISERROR(SUM(AF9:BF9)),0,SUM(AF9:BF9))</f>
        <v>0</v>
      </c>
      <c r="AF9" s="71">
        <f>IF(ISERROR(VLOOKUP(AF8,DATEN!$T$3:$AA$30,4,FALSE)),0,VLOOKUP(AF8,DATEN!$T$3:$AA$30,4,FALSE)*(AF10))</f>
        <v>0</v>
      </c>
      <c r="AG9" s="71">
        <f>IF(ISERROR(VLOOKUP(AG8,DATEN!$T$3:$AA$30,4,FALSE)),0,VLOOKUP(AG8,DATEN!$T$3:$AA$30,4,FALSE)*(AG10))</f>
        <v>0</v>
      </c>
      <c r="AH9" s="71">
        <f>IF(ISERROR(VLOOKUP(AH8,DATEN!$T$3:$AA$30,4,FALSE)),0,VLOOKUP(AH8,DATEN!$T$3:$AA$30,4,FALSE)*(AH10))</f>
        <v>0</v>
      </c>
      <c r="AI9" s="71">
        <f>IF(ISERROR(VLOOKUP(AI8,DATEN!$T$3:$AA$30,4,FALSE)),0,VLOOKUP(AI8,DATEN!$T$3:$AA$30,4,FALSE)*(AI10))</f>
        <v>0</v>
      </c>
      <c r="AJ9" s="71">
        <f>IF(ISERROR(VLOOKUP(AJ8,DATEN!$T$3:$AA$30,4,FALSE)),0,VLOOKUP(AJ8,DATEN!$T$3:$AA$30,4,FALSE)*(AJ10))</f>
        <v>0</v>
      </c>
      <c r="AK9" s="71">
        <f>IF(ISERROR(VLOOKUP(AK8,DATEN!$T$3:$AA$30,4,FALSE)),0,VLOOKUP(AK8,DATEN!$T$3:$AA$30,4,FALSE)*(AK10))</f>
        <v>0</v>
      </c>
      <c r="AL9" s="71">
        <f>IF(ISERROR(VLOOKUP(AL8,DATEN!$T$3:$AA$30,4,FALSE)),0,VLOOKUP(AL8,DATEN!$T$3:$AA$30,4,FALSE)*(AL10))</f>
        <v>0</v>
      </c>
      <c r="AM9" s="71">
        <f>IF(ISERROR(VLOOKUP(AM8,DATEN!$T$3:$AC$30,4,FALSE)),0,VLOOKUP(AM8,DATEN!$T$3:$AC$30,4,FALSE)*(AM10))</f>
        <v>0.32640000000000002</v>
      </c>
      <c r="AN9" s="71">
        <f>IF(ISERROR(VLOOKUP(AN8,DATEN!$T$3:$AC$30,4,FALSE)),0,VLOOKUP(AN8,DATEN!$T$3:$AC$30,4,FALSE)*(AN10))</f>
        <v>0</v>
      </c>
      <c r="AO9" s="71">
        <f>IF(ISERROR(VLOOKUP(AO8,DATEN!$T$3:$AC$30,4,FALSE)),0,VLOOKUP(AO8,DATEN!$T$3:$AC$30,4,FALSE)*(AO10))</f>
        <v>4.0104000000000006</v>
      </c>
      <c r="AP9" s="71">
        <f>IF(ISERROR(VLOOKUP(AP8,DATEN!$T$3:$AC$30,4,FALSE)),0,VLOOKUP(AP8,DATEN!$T$3:$AC$30,4,FALSE)*(AP10))</f>
        <v>59.22</v>
      </c>
      <c r="AQ9" s="71">
        <f>IF(ISNA(VLOOKUP(AQ8,$M$7:$R$14,6,FALSE)),0,VLOOKUP(AQ8,$M$7:$R$14,6,FALSE))</f>
        <v>0</v>
      </c>
      <c r="AR9" s="71">
        <f>IF(ISNA(VLOOKUP(AR8,$M$7:$R$14,6,FALSE)),0,VLOOKUP(AR8,$M$7:$R$14,6,FALSE))</f>
        <v>0</v>
      </c>
      <c r="AS9" s="82" t="e">
        <f>(VLOOKUP(AS8,$T$2:$AA$30,3,FALSE)/$AD8)+(VLOOKUP(AS8,$T$2:$AA$30,4,FALSE))</f>
        <v>#DIV/0!</v>
      </c>
      <c r="AT9" s="71" t="e">
        <f t="shared" ref="AT9" si="1">(VLOOKUP(AT8,$T$2:$AA$30,3,FALSE)/$AD8)+(VLOOKUP(AT8,$T$2:$AA$30,4,FALSE))</f>
        <v>#DIV/0!</v>
      </c>
      <c r="AU9" s="71" t="e">
        <f t="shared" ref="AU9" si="2">(VLOOKUP(AU8,$T$2:$AA$30,3,FALSE)/$AD8)+(VLOOKUP(AU8,$T$2:$AA$30,4,FALSE))</f>
        <v>#DIV/0!</v>
      </c>
      <c r="AV9" s="71" t="e">
        <f t="shared" ref="AV9" si="3">(VLOOKUP(AV8,$T$2:$AA$30,3,FALSE)/$AD8)+(VLOOKUP(AV8,$T$2:$AA$30,4,FALSE))</f>
        <v>#DIV/0!</v>
      </c>
      <c r="AW9" s="71" t="e">
        <f t="shared" ref="AW9" si="4">(VLOOKUP(AW8,$T$2:$AA$30,3,FALSE)/$AD8)+(VLOOKUP(AW8,$T$2:$AA$30,4,FALSE))</f>
        <v>#DIV/0!</v>
      </c>
      <c r="AX9" s="71" t="e">
        <f t="shared" ref="AX9" si="5">(VLOOKUP(AX8,$T$2:$AA$30,3,FALSE)/$AD8)+(VLOOKUP(AX8,$T$2:$AA$30,4,FALSE))</f>
        <v>#DIV/0!</v>
      </c>
      <c r="AY9" s="71" t="e">
        <f t="shared" ref="AY9" si="6">(VLOOKUP(AY8,$T$2:$AA$30,3,FALSE)/$AD8)+(VLOOKUP(AY8,$T$2:$AA$30,4,FALSE))</f>
        <v>#DIV/0!</v>
      </c>
      <c r="AZ9" s="71" t="e">
        <f t="shared" ref="AZ9" si="7">(VLOOKUP(AZ8,$T$2:$AA$30,3,FALSE)/$AD8)+(VLOOKUP(AZ8,$T$2:$AA$30,4,FALSE))</f>
        <v>#DIV/0!</v>
      </c>
      <c r="BA9" s="71" t="e">
        <f t="shared" ref="BA9" si="8">(VLOOKUP(BA8,$T$2:$AA$30,3,FALSE)/$AD8)+(VLOOKUP(BA8,$T$2:$AA$30,4,FALSE))</f>
        <v>#DIV/0!</v>
      </c>
      <c r="BB9" s="71" t="e">
        <f t="shared" ref="BB9" si="9">(VLOOKUP(BB8,$T$2:$AA$30,3,FALSE)/$AD8)+(VLOOKUP(BB8,$T$2:$AA$30,4,FALSE))</f>
        <v>#DIV/0!</v>
      </c>
      <c r="BC9" s="71" t="e">
        <f t="shared" ref="BC9" si="10">(VLOOKUP(BC8,$T$2:$AA$30,3,FALSE)/$AD8)+(VLOOKUP(BC8,$T$2:$AA$30,4,FALSE))</f>
        <v>#DIV/0!</v>
      </c>
      <c r="BD9" s="71" t="e">
        <f t="shared" ref="BD9" si="11">(VLOOKUP(BD8,$T$2:$AA$30,3,FALSE)/$AD8)+(VLOOKUP(BD8,$T$2:$AA$30,4,FALSE))</f>
        <v>#DIV/0!</v>
      </c>
      <c r="BE9" s="72" t="e">
        <f t="shared" ref="BE9" si="12">(VLOOKUP(BE8,$T$2:$AA$30,3,FALSE)/$AD8)+(VLOOKUP(BE8,$T$2:$AA$30,4,FALSE))</f>
        <v>#DIV/0!</v>
      </c>
      <c r="BF9" s="94">
        <f>BV9</f>
        <v>0</v>
      </c>
      <c r="BM9" s="208"/>
      <c r="BN9" s="106">
        <f>AD8</f>
        <v>0</v>
      </c>
      <c r="BO9" s="70">
        <f>AF10</f>
        <v>0</v>
      </c>
      <c r="BP9" s="70">
        <f>COUNT('Bestellung Commande'!K29:N29)</f>
        <v>0</v>
      </c>
      <c r="BQ9" s="9">
        <f>BO9*BP9*$V$44*BN9</f>
        <v>0</v>
      </c>
      <c r="BR9" s="9">
        <f>BP9*$W$44*BN9</f>
        <v>0</v>
      </c>
      <c r="BS9" s="9"/>
      <c r="BT9" s="9"/>
      <c r="BU9" s="9"/>
      <c r="BV9" s="90">
        <f>SUM(BQ9:BU9)</f>
        <v>0</v>
      </c>
    </row>
    <row r="10" spans="1:74" ht="15" thickBot="1" x14ac:dyDescent="0.25">
      <c r="A10" s="50"/>
      <c r="B10" s="3"/>
      <c r="C10" s="3"/>
      <c r="D10" s="4"/>
      <c r="F10" s="3" t="s">
        <v>37</v>
      </c>
      <c r="G10" s="6"/>
      <c r="I10" s="7" t="s">
        <v>131</v>
      </c>
      <c r="J10" s="7" t="s">
        <v>132</v>
      </c>
      <c r="L10">
        <v>4</v>
      </c>
      <c r="M10" s="1" t="s">
        <v>129</v>
      </c>
      <c r="N10" s="1">
        <v>700</v>
      </c>
      <c r="O10" s="1">
        <v>850</v>
      </c>
      <c r="P10" s="2" t="s">
        <v>130</v>
      </c>
      <c r="Q10" s="1">
        <v>2003530</v>
      </c>
      <c r="R10" s="109">
        <v>67.14</v>
      </c>
      <c r="T10" s="54" t="s">
        <v>121</v>
      </c>
      <c r="U10" t="s">
        <v>122</v>
      </c>
      <c r="W10" s="107">
        <v>136.75</v>
      </c>
      <c r="AA10" s="55"/>
      <c r="AC10" s="204"/>
      <c r="AD10" s="78"/>
      <c r="AE10" s="68" t="s">
        <v>107</v>
      </c>
      <c r="AF10" s="69">
        <f>'Bestellung Commande'!$F29/1000</f>
        <v>0</v>
      </c>
      <c r="AG10" s="69">
        <f>'Bestellung Commande'!$F29/1000</f>
        <v>0</v>
      </c>
      <c r="AH10" s="69">
        <f>'Bestellung Commande'!$F29/1000</f>
        <v>0</v>
      </c>
      <c r="AI10" s="69">
        <f>'Bestellung Commande'!$F29/1000</f>
        <v>0</v>
      </c>
      <c r="AJ10" s="69">
        <f>'Bestellung Commande'!$F29/1000</f>
        <v>0</v>
      </c>
      <c r="AK10" s="69">
        <f>'Bestellung Commande'!$F29/1000</f>
        <v>0</v>
      </c>
      <c r="AL10" s="69">
        <f>'Bestellung Commande'!$F29/1000</f>
        <v>0</v>
      </c>
      <c r="AM10" s="64">
        <v>2</v>
      </c>
      <c r="AN10" s="64">
        <v>0</v>
      </c>
      <c r="AO10" s="64">
        <v>2</v>
      </c>
      <c r="AP10" s="64">
        <v>2</v>
      </c>
      <c r="AQ10" s="80">
        <f>'Pos2'!$F$33</f>
        <v>0</v>
      </c>
      <c r="AR10" s="80">
        <f>'Pos2'!$G$33</f>
        <v>0</v>
      </c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83"/>
      <c r="BF10" s="93"/>
      <c r="BM10" s="209"/>
      <c r="BN10" s="78"/>
      <c r="BO10" s="68" t="s">
        <v>107</v>
      </c>
      <c r="BP10" s="68"/>
      <c r="BQ10" s="68"/>
      <c r="BR10" s="68"/>
      <c r="BS10" s="68"/>
      <c r="BT10" s="68"/>
      <c r="BU10" s="68"/>
      <c r="BV10" s="91"/>
    </row>
    <row r="11" spans="1:74" ht="15" thickBot="1" x14ac:dyDescent="0.25">
      <c r="F11" s="3" t="s">
        <v>38</v>
      </c>
      <c r="G11" s="6"/>
      <c r="I11" s="7" t="s">
        <v>135</v>
      </c>
      <c r="J11" s="7" t="s">
        <v>136</v>
      </c>
      <c r="L11">
        <v>5</v>
      </c>
      <c r="M11" s="1" t="s">
        <v>133</v>
      </c>
      <c r="N11" s="1">
        <v>850</v>
      </c>
      <c r="O11" s="1">
        <v>1000</v>
      </c>
      <c r="P11" s="2" t="s">
        <v>134</v>
      </c>
      <c r="Q11" s="1">
        <v>2003562</v>
      </c>
      <c r="R11" s="109">
        <v>68.75</v>
      </c>
      <c r="T11" s="54" t="s">
        <v>82</v>
      </c>
      <c r="U11" s="19" t="s">
        <v>139</v>
      </c>
      <c r="W11" s="107">
        <f>Z11/Y11</f>
        <v>1.7269999999999999</v>
      </c>
      <c r="Y11">
        <v>40</v>
      </c>
      <c r="Z11" s="103">
        <v>69.08</v>
      </c>
      <c r="AA11" s="55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M11" s="9"/>
      <c r="BN11" s="9"/>
      <c r="BO11" s="9"/>
      <c r="BP11" s="9"/>
      <c r="BQ11" s="9"/>
      <c r="BR11" s="9"/>
      <c r="BS11" s="9"/>
      <c r="BT11" s="9"/>
      <c r="BU11" s="9"/>
      <c r="BV11" s="9"/>
    </row>
    <row r="12" spans="1:74" x14ac:dyDescent="0.2">
      <c r="F12" s="3" t="s">
        <v>40</v>
      </c>
      <c r="G12" s="6"/>
      <c r="I12" s="7" t="s">
        <v>140</v>
      </c>
      <c r="J12" s="7" t="s">
        <v>141</v>
      </c>
      <c r="L12">
        <v>6</v>
      </c>
      <c r="M12" s="1" t="s">
        <v>137</v>
      </c>
      <c r="N12" s="1">
        <v>1000</v>
      </c>
      <c r="O12" s="1">
        <v>1150</v>
      </c>
      <c r="P12" s="2" t="s">
        <v>138</v>
      </c>
      <c r="Q12" s="1">
        <v>2003549</v>
      </c>
      <c r="R12" s="109">
        <v>73.319999999999993</v>
      </c>
      <c r="T12" s="54" t="s">
        <v>83</v>
      </c>
      <c r="U12" s="19" t="s">
        <v>144</v>
      </c>
      <c r="W12" s="107">
        <f>Z12/Y12</f>
        <v>0.16320000000000001</v>
      </c>
      <c r="Y12">
        <v>100</v>
      </c>
      <c r="Z12" s="103">
        <v>16.32</v>
      </c>
      <c r="AA12" s="55"/>
      <c r="AC12" s="202">
        <f>'Bestellung Commande'!A31</f>
        <v>3</v>
      </c>
      <c r="AD12" s="76" t="s">
        <v>178</v>
      </c>
      <c r="AE12" s="67"/>
      <c r="AF12" s="61" t="str">
        <f>VLOOKUP(AF13,DATEN!$T$2:$AA$30,2,FALSE)</f>
        <v>Aluprofil</v>
      </c>
      <c r="AG12" s="61" t="str">
        <f>VLOOKUP(AG13,DATEN!$T$2:$AA$30,2,FALSE)</f>
        <v>KS-Trittschwelle</v>
      </c>
      <c r="AH12" s="61" t="s">
        <v>69</v>
      </c>
      <c r="AI12" s="61" t="s">
        <v>70</v>
      </c>
      <c r="AJ12" s="61" t="s">
        <v>71</v>
      </c>
      <c r="AK12" s="61" t="s">
        <v>72</v>
      </c>
      <c r="AL12" s="61" t="str">
        <f>VLOOKUP(AL13,DATEN!$T$2:$AA$30,2,FALSE)</f>
        <v>Anschlussdichtung</v>
      </c>
      <c r="AM12" s="61" t="str">
        <f>VLOOKUP(AM13,DATEN!$T$2:$AA$30,2,FALSE)</f>
        <v>Linsenschaube 4.8x28</v>
      </c>
      <c r="AN12" s="61" t="str">
        <f>VLOOKUP(AN13,DATEN!$T$2:$AA$30,2,FALSE)</f>
        <v>KS-Kupplungselemnt</v>
      </c>
      <c r="AO12" s="61" t="str">
        <f>VLOOKUP(AO13,DATEN!$T$2:$AA$30,2,FALSE)</f>
        <v>Dichtstück</v>
      </c>
      <c r="AP12" s="61" t="str">
        <f>VLOOKUP(AP13,DATEN!$T$2:$AA$30,2,FALSE)</f>
        <v>Endstück mit Entwässerung</v>
      </c>
      <c r="AQ12" s="61" t="s">
        <v>199</v>
      </c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5"/>
      <c r="BF12" s="17"/>
      <c r="BM12" s="207">
        <f>AC12</f>
        <v>3</v>
      </c>
      <c r="BN12" s="76" t="s">
        <v>178</v>
      </c>
      <c r="BO12" s="67" t="s">
        <v>13</v>
      </c>
      <c r="BP12" s="67" t="s">
        <v>23</v>
      </c>
      <c r="BQ12" s="67" t="s">
        <v>193</v>
      </c>
      <c r="BR12" s="67" t="s">
        <v>194</v>
      </c>
      <c r="BS12" s="67"/>
      <c r="BT12" s="67"/>
      <c r="BU12" s="67"/>
      <c r="BV12" s="95" t="s">
        <v>8</v>
      </c>
    </row>
    <row r="13" spans="1:74" x14ac:dyDescent="0.2">
      <c r="C13" t="s">
        <v>212</v>
      </c>
      <c r="D13" s="9">
        <v>50</v>
      </c>
      <c r="L13">
        <v>7</v>
      </c>
      <c r="M13" s="1" t="s">
        <v>142</v>
      </c>
      <c r="N13" s="1">
        <v>1150</v>
      </c>
      <c r="O13" s="1">
        <v>1300</v>
      </c>
      <c r="P13" s="2" t="s">
        <v>143</v>
      </c>
      <c r="Q13" s="1">
        <v>2003545</v>
      </c>
      <c r="R13" s="109">
        <v>77.88</v>
      </c>
      <c r="T13" s="54" t="s">
        <v>84</v>
      </c>
      <c r="U13" t="s">
        <v>147</v>
      </c>
      <c r="W13" s="107">
        <f>Z13/Y13</f>
        <v>9.1799999999999993E-2</v>
      </c>
      <c r="Y13">
        <v>50</v>
      </c>
      <c r="Z13" s="103">
        <v>4.59</v>
      </c>
      <c r="AA13" s="55"/>
      <c r="AB13">
        <f>AB8+$AB$2</f>
        <v>41</v>
      </c>
      <c r="AC13" s="203"/>
      <c r="AD13" s="77">
        <f>'Bestellung Commande'!E31</f>
        <v>0</v>
      </c>
      <c r="AE13" s="9" t="s">
        <v>77</v>
      </c>
      <c r="AF13" s="62" t="s">
        <v>12</v>
      </c>
      <c r="AG13" s="62" t="s">
        <v>15</v>
      </c>
      <c r="AH13" s="63">
        <f>VLOOKUP('Bestellung Commande'!K31,DATEN!$A$3:$D$10,2,FALSE)</f>
        <v>0</v>
      </c>
      <c r="AI13" s="63">
        <f>VLOOKUP('Bestellung Commande'!L31,DATEN!$A$3:$D$10,2,FALSE)</f>
        <v>0</v>
      </c>
      <c r="AJ13" s="63">
        <f>VLOOKUP('Bestellung Commande'!M31,DATEN!$A$3:$D$10,2,FALSE)</f>
        <v>0</v>
      </c>
      <c r="AK13" s="63">
        <f>VLOOKUP('Bestellung Commande'!N31,DATEN!$A$3:$D$10,2,FALSE)</f>
        <v>0</v>
      </c>
      <c r="AL13" s="62" t="s">
        <v>82</v>
      </c>
      <c r="AM13" s="62" t="s">
        <v>83</v>
      </c>
      <c r="AN13" s="62" t="s">
        <v>84</v>
      </c>
      <c r="AO13" s="62" t="s">
        <v>85</v>
      </c>
      <c r="AP13" s="62" t="s">
        <v>86</v>
      </c>
      <c r="AQ13" s="62" t="str">
        <f>IF(ISNA('Pos3'!$F$31),"",'Pos3'!$F$31)</f>
        <v/>
      </c>
      <c r="AR13" s="62" t="str">
        <f>IF(ISNA('Pos3'!$F$31),"",'Pos3'!$F$31)</f>
        <v/>
      </c>
      <c r="AS13" s="81" t="str">
        <f>$T$18</f>
        <v>Rüsten</v>
      </c>
      <c r="AT13" s="62" t="str">
        <f>$T$19</f>
        <v>Sägen</v>
      </c>
      <c r="AU13" s="62" t="str">
        <f>$T$20</f>
        <v>Bohren</v>
      </c>
      <c r="AV13" s="62" t="str">
        <f>$T$21</f>
        <v>Kleben</v>
      </c>
      <c r="AW13" s="62" t="str">
        <f>$T$22</f>
        <v>Montage</v>
      </c>
      <c r="AX13" s="62" t="str">
        <f>$T$23</f>
        <v>Spedi</v>
      </c>
      <c r="AY13" s="62" t="str">
        <f>$T$24</f>
        <v>Steg</v>
      </c>
      <c r="AZ13" s="62" t="str">
        <f>$T$25</f>
        <v>Job 8</v>
      </c>
      <c r="BA13" s="62" t="str">
        <f>$T$26</f>
        <v>Job 9</v>
      </c>
      <c r="BB13" s="62" t="str">
        <f>$T$27</f>
        <v>Job 10</v>
      </c>
      <c r="BC13" s="62" t="str">
        <f>$T$28</f>
        <v>Job 11</v>
      </c>
      <c r="BD13" s="62" t="str">
        <f>$T$29</f>
        <v>Job 12</v>
      </c>
      <c r="BE13" s="66" t="str">
        <f>$T$30</f>
        <v>Job 13</v>
      </c>
      <c r="BF13" s="93"/>
      <c r="BM13" s="208"/>
      <c r="BO13" t="s">
        <v>77</v>
      </c>
      <c r="BQ13" s="9"/>
      <c r="BR13" s="9"/>
      <c r="BS13" s="9"/>
      <c r="BT13" s="9"/>
      <c r="BU13" s="9"/>
      <c r="BV13" s="90"/>
    </row>
    <row r="14" spans="1:74" ht="15" x14ac:dyDescent="0.25">
      <c r="C14" t="s">
        <v>213</v>
      </c>
      <c r="D14" s="9">
        <v>300</v>
      </c>
      <c r="F14" t="str">
        <f>'Bestellung Commande'!A67</f>
        <v>V9.5</v>
      </c>
      <c r="I14" s="7" t="s">
        <v>148</v>
      </c>
      <c r="J14" s="7" t="s">
        <v>149</v>
      </c>
      <c r="L14">
        <v>8</v>
      </c>
      <c r="M14" s="1" t="s">
        <v>145</v>
      </c>
      <c r="N14" s="1">
        <v>1300</v>
      </c>
      <c r="O14" s="1">
        <v>1450</v>
      </c>
      <c r="P14" s="2" t="s">
        <v>146</v>
      </c>
      <c r="Q14" s="1">
        <v>2003534</v>
      </c>
      <c r="R14" s="109">
        <v>82.03</v>
      </c>
      <c r="T14" s="54" t="s">
        <v>85</v>
      </c>
      <c r="U14" t="s">
        <v>150</v>
      </c>
      <c r="W14">
        <f>Z14/Y14</f>
        <v>2.0052000000000003</v>
      </c>
      <c r="X14" t="s">
        <v>81</v>
      </c>
      <c r="Y14" s="108">
        <v>50</v>
      </c>
      <c r="Z14" s="103">
        <v>100.26</v>
      </c>
      <c r="AA14" s="55"/>
      <c r="AC14" s="203"/>
      <c r="AD14" s="77"/>
      <c r="AE14" s="70">
        <f>IF(ISERROR(SUM(AF14:BF14)),0,SUM(AF14:BF14))</f>
        <v>0</v>
      </c>
      <c r="AF14" s="71">
        <f>IF(ISERROR(VLOOKUP(AF13,DATEN!$T$3:$AA$30,4,FALSE)),0,VLOOKUP(AF13,DATEN!$T$3:$AA$30,4,FALSE)*(AF15))</f>
        <v>0</v>
      </c>
      <c r="AG14" s="71">
        <f>IF(ISERROR(VLOOKUP(AG13,DATEN!$T$3:$AA$30,4,FALSE)),0,VLOOKUP(AG13,DATEN!$T$3:$AA$30,4,FALSE)*(AG15))</f>
        <v>0</v>
      </c>
      <c r="AH14" s="71">
        <f>IF(ISERROR(VLOOKUP(AH13,DATEN!$T$3:$AA$30,4,FALSE)),0,VLOOKUP(AH13,DATEN!$T$3:$AA$30,4,FALSE)*(AH15))</f>
        <v>0</v>
      </c>
      <c r="AI14" s="71">
        <f>IF(ISERROR(VLOOKUP(AI13,DATEN!$T$3:$AA$30,4,FALSE)),0,VLOOKUP(AI13,DATEN!$T$3:$AA$30,4,FALSE)*(AI15))</f>
        <v>0</v>
      </c>
      <c r="AJ14" s="71">
        <f>IF(ISERROR(VLOOKUP(AJ13,DATEN!$T$3:$AA$30,4,FALSE)),0,VLOOKUP(AJ13,DATEN!$T$3:$AA$30,4,FALSE)*(AJ15))</f>
        <v>0</v>
      </c>
      <c r="AK14" s="71">
        <f>IF(ISERROR(VLOOKUP(AK13,DATEN!$T$3:$AA$30,4,FALSE)),0,VLOOKUP(AK13,DATEN!$T$3:$AA$30,4,FALSE)*(AK15))</f>
        <v>0</v>
      </c>
      <c r="AL14" s="71">
        <f>IF(ISERROR(VLOOKUP(AL13,DATEN!$T$3:$AA$30,4,FALSE)),0,VLOOKUP(AL13,DATEN!$T$3:$AA$30,4,FALSE)*(AL15))</f>
        <v>0</v>
      </c>
      <c r="AM14" s="71">
        <f>IF(ISERROR(VLOOKUP(AM13,DATEN!$T$3:$AC$30,4,FALSE)),0,VLOOKUP(AM13,DATEN!$T$3:$AC$30,4,FALSE)*(AM15))</f>
        <v>0.32640000000000002</v>
      </c>
      <c r="AN14" s="71">
        <f>IF(ISERROR(VLOOKUP(AN13,DATEN!$T$3:$AC$30,4,FALSE)),0,VLOOKUP(AN13,DATEN!$T$3:$AC$30,4,FALSE)*(AN15))</f>
        <v>0</v>
      </c>
      <c r="AO14" s="71">
        <f>IF(ISERROR(VLOOKUP(AO13,DATEN!$T$3:$AC$30,4,FALSE)),0,VLOOKUP(AO13,DATEN!$T$3:$AC$30,4,FALSE)*(AO15))</f>
        <v>4.0104000000000006</v>
      </c>
      <c r="AP14" s="71">
        <f>IF(ISERROR(VLOOKUP(AP13,DATEN!$T$3:$AC$30,4,FALSE)),0,VLOOKUP(AP13,DATEN!$T$3:$AC$30,4,FALSE)*(AP15))</f>
        <v>59.22</v>
      </c>
      <c r="AQ14" s="71">
        <f>IF(ISNA(VLOOKUP(AQ13,$M$7:$R$14,6,FALSE)),0,VLOOKUP(AQ13,$M$7:$R$14,6,FALSE))</f>
        <v>0</v>
      </c>
      <c r="AR14" s="71">
        <f>IF(ISNA(VLOOKUP(AR13,$M$7:$R$14,6,FALSE)),0,VLOOKUP(AR13,$M$7:$R$14,6,FALSE))</f>
        <v>0</v>
      </c>
      <c r="AS14" s="82" t="e">
        <f>(VLOOKUP(AS13,$T$2:$AA$30,3,FALSE)/$AD13)+(VLOOKUP(AS13,$T$2:$AA$30,4,FALSE))</f>
        <v>#DIV/0!</v>
      </c>
      <c r="AT14" s="71" t="e">
        <f t="shared" ref="AT14" si="13">(VLOOKUP(AT13,$T$2:$AA$30,3,FALSE)/$AD13)+(VLOOKUP(AT13,$T$2:$AA$30,4,FALSE))</f>
        <v>#DIV/0!</v>
      </c>
      <c r="AU14" s="71" t="e">
        <f t="shared" ref="AU14" si="14">(VLOOKUP(AU13,$T$2:$AA$30,3,FALSE)/$AD13)+(VLOOKUP(AU13,$T$2:$AA$30,4,FALSE))</f>
        <v>#DIV/0!</v>
      </c>
      <c r="AV14" s="71" t="e">
        <f t="shared" ref="AV14" si="15">(VLOOKUP(AV13,$T$2:$AA$30,3,FALSE)/$AD13)+(VLOOKUP(AV13,$T$2:$AA$30,4,FALSE))</f>
        <v>#DIV/0!</v>
      </c>
      <c r="AW14" s="71" t="e">
        <f t="shared" ref="AW14" si="16">(VLOOKUP(AW13,$T$2:$AA$30,3,FALSE)/$AD13)+(VLOOKUP(AW13,$T$2:$AA$30,4,FALSE))</f>
        <v>#DIV/0!</v>
      </c>
      <c r="AX14" s="71" t="e">
        <f t="shared" ref="AX14" si="17">(VLOOKUP(AX13,$T$2:$AA$30,3,FALSE)/$AD13)+(VLOOKUP(AX13,$T$2:$AA$30,4,FALSE))</f>
        <v>#DIV/0!</v>
      </c>
      <c r="AY14" s="71" t="e">
        <f t="shared" ref="AY14" si="18">(VLOOKUP(AY13,$T$2:$AA$30,3,FALSE)/$AD13)+(VLOOKUP(AY13,$T$2:$AA$30,4,FALSE))</f>
        <v>#DIV/0!</v>
      </c>
      <c r="AZ14" s="71" t="e">
        <f t="shared" ref="AZ14" si="19">(VLOOKUP(AZ13,$T$2:$AA$30,3,FALSE)/$AD13)+(VLOOKUP(AZ13,$T$2:$AA$30,4,FALSE))</f>
        <v>#DIV/0!</v>
      </c>
      <c r="BA14" s="71" t="e">
        <f t="shared" ref="BA14" si="20">(VLOOKUP(BA13,$T$2:$AA$30,3,FALSE)/$AD13)+(VLOOKUP(BA13,$T$2:$AA$30,4,FALSE))</f>
        <v>#DIV/0!</v>
      </c>
      <c r="BB14" s="71" t="e">
        <f t="shared" ref="BB14" si="21">(VLOOKUP(BB13,$T$2:$AA$30,3,FALSE)/$AD13)+(VLOOKUP(BB13,$T$2:$AA$30,4,FALSE))</f>
        <v>#DIV/0!</v>
      </c>
      <c r="BC14" s="71" t="e">
        <f t="shared" ref="BC14" si="22">(VLOOKUP(BC13,$T$2:$AA$30,3,FALSE)/$AD13)+(VLOOKUP(BC13,$T$2:$AA$30,4,FALSE))</f>
        <v>#DIV/0!</v>
      </c>
      <c r="BD14" s="71" t="e">
        <f t="shared" ref="BD14" si="23">(VLOOKUP(BD13,$T$2:$AA$30,3,FALSE)/$AD13)+(VLOOKUP(BD13,$T$2:$AA$30,4,FALSE))</f>
        <v>#DIV/0!</v>
      </c>
      <c r="BE14" s="72" t="e">
        <f t="shared" ref="BE14" si="24">(VLOOKUP(BE13,$T$2:$AA$30,3,FALSE)/$AD13)+(VLOOKUP(BE13,$T$2:$AA$30,4,FALSE))</f>
        <v>#DIV/0!</v>
      </c>
      <c r="BF14" s="94">
        <f>BV14</f>
        <v>0</v>
      </c>
      <c r="BM14" s="208"/>
      <c r="BN14" s="106">
        <f>AD13</f>
        <v>0</v>
      </c>
      <c r="BO14" s="70">
        <f>AF15</f>
        <v>0</v>
      </c>
      <c r="BP14" s="70">
        <f>COUNT('Bestellung Commande'!K31:N31)</f>
        <v>0</v>
      </c>
      <c r="BQ14" s="9">
        <f>BO14*BP14*$V$44*BN14</f>
        <v>0</v>
      </c>
      <c r="BR14" s="9">
        <f>BP14*$W$44*BN14</f>
        <v>0</v>
      </c>
      <c r="BS14" s="9"/>
      <c r="BT14" s="9"/>
      <c r="BU14" s="9"/>
      <c r="BV14" s="90">
        <f>SUM(BQ14:BU14)</f>
        <v>0</v>
      </c>
    </row>
    <row r="15" spans="1:74" ht="15" thickBot="1" x14ac:dyDescent="0.25">
      <c r="I15" s="7" t="s">
        <v>295</v>
      </c>
      <c r="J15" s="7" t="s">
        <v>296</v>
      </c>
      <c r="L15">
        <v>9</v>
      </c>
      <c r="M15" s="1" t="s">
        <v>286</v>
      </c>
      <c r="N15" s="1">
        <v>1450.1</v>
      </c>
      <c r="O15" s="1">
        <v>1000000</v>
      </c>
      <c r="P15" s="2" t="s">
        <v>287</v>
      </c>
      <c r="Q15" s="1"/>
      <c r="R15" s="109">
        <v>10000</v>
      </c>
      <c r="T15" s="54" t="s">
        <v>86</v>
      </c>
      <c r="U15" t="s">
        <v>151</v>
      </c>
      <c r="W15">
        <f>Z15/Y15</f>
        <v>29.61</v>
      </c>
      <c r="X15" t="s">
        <v>81</v>
      </c>
      <c r="Y15" s="108">
        <v>2</v>
      </c>
      <c r="Z15" s="103">
        <v>59.22</v>
      </c>
      <c r="AA15" s="55"/>
      <c r="AC15" s="204"/>
      <c r="AD15" s="78"/>
      <c r="AE15" s="68" t="s">
        <v>107</v>
      </c>
      <c r="AF15" s="69">
        <f>'Bestellung Commande'!$F31/1000</f>
        <v>0</v>
      </c>
      <c r="AG15" s="69">
        <f>'Bestellung Commande'!$F31/1000</f>
        <v>0</v>
      </c>
      <c r="AH15" s="69">
        <f>'Bestellung Commande'!$F31/1000</f>
        <v>0</v>
      </c>
      <c r="AI15" s="69">
        <f>'Bestellung Commande'!$F31/1000</f>
        <v>0</v>
      </c>
      <c r="AJ15" s="69">
        <f>'Bestellung Commande'!$F31/1000</f>
        <v>0</v>
      </c>
      <c r="AK15" s="69">
        <f>'Bestellung Commande'!$F31/1000</f>
        <v>0</v>
      </c>
      <c r="AL15" s="69">
        <f>'Bestellung Commande'!$F31/1000</f>
        <v>0</v>
      </c>
      <c r="AM15" s="64">
        <v>2</v>
      </c>
      <c r="AN15" s="64">
        <v>0</v>
      </c>
      <c r="AO15" s="64">
        <v>2</v>
      </c>
      <c r="AP15" s="64">
        <v>2</v>
      </c>
      <c r="AQ15" s="80">
        <f>'Pos3'!$F$33</f>
        <v>0</v>
      </c>
      <c r="AR15" s="80">
        <f>'Pos3'!$G$33</f>
        <v>0</v>
      </c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83"/>
      <c r="BF15" s="93"/>
      <c r="BM15" s="209"/>
      <c r="BN15" s="78"/>
      <c r="BO15" s="68" t="s">
        <v>107</v>
      </c>
      <c r="BP15" s="68"/>
      <c r="BQ15" s="68"/>
      <c r="BR15" s="68"/>
      <c r="BS15" s="68"/>
      <c r="BT15" s="68"/>
      <c r="BU15" s="68"/>
      <c r="BV15" s="91"/>
    </row>
    <row r="16" spans="1:74" ht="15" thickBot="1" x14ac:dyDescent="0.25">
      <c r="I16" s="7" t="s">
        <v>152</v>
      </c>
      <c r="J16" s="7" t="s">
        <v>153</v>
      </c>
      <c r="R16" t="s">
        <v>202</v>
      </c>
      <c r="T16" s="54"/>
      <c r="W16" s="44"/>
      <c r="AA16" s="55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M16" s="9"/>
      <c r="BN16" s="9"/>
      <c r="BO16" s="9"/>
      <c r="BP16" s="9"/>
      <c r="BQ16" s="9"/>
      <c r="BR16" s="9"/>
      <c r="BS16" s="9"/>
      <c r="BT16" s="9"/>
      <c r="BU16" s="9"/>
      <c r="BV16" s="9"/>
    </row>
    <row r="17" spans="3:74" x14ac:dyDescent="0.2">
      <c r="I17" s="7" t="s">
        <v>154</v>
      </c>
      <c r="J17" s="7" t="s">
        <v>155</v>
      </c>
      <c r="T17" s="74" t="s">
        <v>169</v>
      </c>
      <c r="U17" s="35" t="s">
        <v>170</v>
      </c>
      <c r="V17" s="37" t="s">
        <v>196</v>
      </c>
      <c r="W17" s="37" t="s">
        <v>171</v>
      </c>
      <c r="X17" s="37" t="s">
        <v>182</v>
      </c>
      <c r="Y17" s="35"/>
      <c r="Z17" s="35"/>
      <c r="AA17" s="75"/>
      <c r="AC17" s="202">
        <f>'Bestellung Commande'!A33</f>
        <v>4</v>
      </c>
      <c r="AD17" s="76" t="s">
        <v>178</v>
      </c>
      <c r="AE17" s="67"/>
      <c r="AF17" s="61" t="str">
        <f>VLOOKUP(AF18,DATEN!$T$2:$AA$30,2,FALSE)</f>
        <v>Aluprofil</v>
      </c>
      <c r="AG17" s="61" t="str">
        <f>VLOOKUP(AG18,DATEN!$T$2:$AA$30,2,FALSE)</f>
        <v>KS-Trittschwelle</v>
      </c>
      <c r="AH17" s="61" t="s">
        <v>69</v>
      </c>
      <c r="AI17" s="61" t="s">
        <v>70</v>
      </c>
      <c r="AJ17" s="61" t="s">
        <v>71</v>
      </c>
      <c r="AK17" s="61" t="s">
        <v>72</v>
      </c>
      <c r="AL17" s="61" t="str">
        <f>VLOOKUP(AL18,DATEN!$T$2:$AA$30,2,FALSE)</f>
        <v>Anschlussdichtung</v>
      </c>
      <c r="AM17" s="61" t="str">
        <f>VLOOKUP(AM18,DATEN!$T$2:$AA$30,2,FALSE)</f>
        <v>Linsenschaube 4.8x28</v>
      </c>
      <c r="AN17" s="61" t="str">
        <f>VLOOKUP(AN18,DATEN!$T$2:$AA$30,2,FALSE)</f>
        <v>KS-Kupplungselemnt</v>
      </c>
      <c r="AO17" s="61" t="str">
        <f>VLOOKUP(AO18,DATEN!$T$2:$AA$30,2,FALSE)</f>
        <v>Dichtstück</v>
      </c>
      <c r="AP17" s="61" t="str">
        <f>VLOOKUP(AP18,DATEN!$T$2:$AA$30,2,FALSE)</f>
        <v>Endstück mit Entwässerung</v>
      </c>
      <c r="AQ17" s="61" t="s">
        <v>199</v>
      </c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5"/>
      <c r="BF17" s="17"/>
      <c r="BM17" s="207">
        <f>AC17</f>
        <v>4</v>
      </c>
      <c r="BN17" s="76" t="s">
        <v>178</v>
      </c>
      <c r="BO17" s="67" t="s">
        <v>13</v>
      </c>
      <c r="BP17" s="67" t="s">
        <v>23</v>
      </c>
      <c r="BQ17" s="67" t="s">
        <v>193</v>
      </c>
      <c r="BR17" s="67" t="s">
        <v>194</v>
      </c>
      <c r="BS17" s="67"/>
      <c r="BT17" s="67"/>
      <c r="BU17" s="67"/>
      <c r="BV17" s="95" t="s">
        <v>8</v>
      </c>
    </row>
    <row r="18" spans="3:74" x14ac:dyDescent="0.2">
      <c r="C18" t="s">
        <v>289</v>
      </c>
      <c r="I18" s="7" t="s">
        <v>156</v>
      </c>
      <c r="J18" s="7" t="s">
        <v>157</v>
      </c>
      <c r="T18" s="54" t="s">
        <v>87</v>
      </c>
      <c r="U18" t="s">
        <v>87</v>
      </c>
      <c r="V18" s="96">
        <v>100</v>
      </c>
      <c r="W18" s="96"/>
      <c r="X18" s="96"/>
      <c r="Y18" s="96"/>
      <c r="Z18" s="96"/>
      <c r="AA18" s="104"/>
      <c r="AB18">
        <f>AB13+$AB$2</f>
        <v>46</v>
      </c>
      <c r="AC18" s="203"/>
      <c r="AD18" s="77">
        <f>'Bestellung Commande'!E33</f>
        <v>0</v>
      </c>
      <c r="AE18" s="9" t="s">
        <v>77</v>
      </c>
      <c r="AF18" s="62" t="s">
        <v>12</v>
      </c>
      <c r="AG18" s="62" t="s">
        <v>15</v>
      </c>
      <c r="AH18" s="63">
        <f>VLOOKUP('Bestellung Commande'!K33,DATEN!$A$3:$D$10,2,FALSE)</f>
        <v>0</v>
      </c>
      <c r="AI18" s="63">
        <f>VLOOKUP('Bestellung Commande'!L33,DATEN!$A$3:$D$10,2,FALSE)</f>
        <v>0</v>
      </c>
      <c r="AJ18" s="63">
        <f>VLOOKUP('Bestellung Commande'!M33,DATEN!$A$3:$D$10,2,FALSE)</f>
        <v>0</v>
      </c>
      <c r="AK18" s="63">
        <f>VLOOKUP('Bestellung Commande'!N33,DATEN!$A$3:$D$10,2,FALSE)</f>
        <v>0</v>
      </c>
      <c r="AL18" s="62" t="s">
        <v>82</v>
      </c>
      <c r="AM18" s="62" t="s">
        <v>83</v>
      </c>
      <c r="AN18" s="62" t="s">
        <v>84</v>
      </c>
      <c r="AO18" s="62" t="s">
        <v>85</v>
      </c>
      <c r="AP18" s="62" t="s">
        <v>86</v>
      </c>
      <c r="AQ18" s="62" t="str">
        <f>IF(ISNA('Pos4'!$F$31),"",'Pos4'!$F$31)</f>
        <v/>
      </c>
      <c r="AR18" s="62" t="str">
        <f>IF(ISNA('Pos4'!$F$31),"",'Pos4'!$F$31)</f>
        <v/>
      </c>
      <c r="AS18" s="81" t="str">
        <f>$T$18</f>
        <v>Rüsten</v>
      </c>
      <c r="AT18" s="62" t="str">
        <f>$T$19</f>
        <v>Sägen</v>
      </c>
      <c r="AU18" s="62" t="str">
        <f>$T$20</f>
        <v>Bohren</v>
      </c>
      <c r="AV18" s="62" t="str">
        <f>$T$21</f>
        <v>Kleben</v>
      </c>
      <c r="AW18" s="62" t="str">
        <f>$T$22</f>
        <v>Montage</v>
      </c>
      <c r="AX18" s="62" t="str">
        <f>$T$23</f>
        <v>Spedi</v>
      </c>
      <c r="AY18" s="62" t="str">
        <f>$T$24</f>
        <v>Steg</v>
      </c>
      <c r="AZ18" s="62" t="str">
        <f>$T$25</f>
        <v>Job 8</v>
      </c>
      <c r="BA18" s="62" t="str">
        <f>$T$26</f>
        <v>Job 9</v>
      </c>
      <c r="BB18" s="62" t="str">
        <f>$T$27</f>
        <v>Job 10</v>
      </c>
      <c r="BC18" s="62" t="str">
        <f>$T$28</f>
        <v>Job 11</v>
      </c>
      <c r="BD18" s="62" t="str">
        <f>$T$29</f>
        <v>Job 12</v>
      </c>
      <c r="BE18" s="66" t="str">
        <f>$T$30</f>
        <v>Job 13</v>
      </c>
      <c r="BF18" s="93"/>
      <c r="BM18" s="208"/>
      <c r="BO18" t="s">
        <v>77</v>
      </c>
      <c r="BQ18" s="9"/>
      <c r="BR18" s="9"/>
      <c r="BS18" s="9"/>
      <c r="BT18" s="9"/>
      <c r="BU18" s="9"/>
      <c r="BV18" s="90"/>
    </row>
    <row r="19" spans="3:74" ht="15" x14ac:dyDescent="0.25">
      <c r="I19" s="7" t="s">
        <v>158</v>
      </c>
      <c r="J19" s="7" t="s">
        <v>159</v>
      </c>
      <c r="T19" s="54" t="s">
        <v>88</v>
      </c>
      <c r="U19" t="s">
        <v>88</v>
      </c>
      <c r="V19" s="96"/>
      <c r="W19" s="96">
        <v>35</v>
      </c>
      <c r="X19" s="96"/>
      <c r="Y19" s="96"/>
      <c r="Z19" s="96"/>
      <c r="AA19" s="104"/>
      <c r="AC19" s="203"/>
      <c r="AD19" s="77"/>
      <c r="AE19" s="70">
        <f>IF(ISERROR(SUM(AF19:BF19)),0,SUM(AF19:BF19))</f>
        <v>0</v>
      </c>
      <c r="AF19" s="71">
        <f>IF(ISERROR(VLOOKUP(AF18,DATEN!$T$3:$AA$30,4,FALSE)),0,VLOOKUP(AF18,DATEN!$T$3:$AA$30,4,FALSE)*(AF20))</f>
        <v>0</v>
      </c>
      <c r="AG19" s="71">
        <f>IF(ISERROR(VLOOKUP(AG18,DATEN!$T$3:$AA$30,4,FALSE)),0,VLOOKUP(AG18,DATEN!$T$3:$AA$30,4,FALSE)*(AG20))</f>
        <v>0</v>
      </c>
      <c r="AH19" s="71">
        <f>IF(ISERROR(VLOOKUP(AH18,DATEN!$T$3:$AA$30,4,FALSE)),0,VLOOKUP(AH18,DATEN!$T$3:$AA$30,4,FALSE)*(AH20))</f>
        <v>0</v>
      </c>
      <c r="AI19" s="71">
        <f>IF(ISERROR(VLOOKUP(AI18,DATEN!$T$3:$AA$30,4,FALSE)),0,VLOOKUP(AI18,DATEN!$T$3:$AA$30,4,FALSE)*(AI20))</f>
        <v>0</v>
      </c>
      <c r="AJ19" s="71">
        <f>IF(ISERROR(VLOOKUP(AJ18,DATEN!$T$3:$AA$30,4,FALSE)),0,VLOOKUP(AJ18,DATEN!$T$3:$AA$30,4,FALSE)*(AJ20))</f>
        <v>0</v>
      </c>
      <c r="AK19" s="71">
        <f>IF(ISERROR(VLOOKUP(AK18,DATEN!$T$3:$AA$30,4,FALSE)),0,VLOOKUP(AK18,DATEN!$T$3:$AA$30,4,FALSE)*(AK20))</f>
        <v>0</v>
      </c>
      <c r="AL19" s="71">
        <f>IF(ISERROR(VLOOKUP(AL18,DATEN!$T$3:$AA$30,4,FALSE)),0,VLOOKUP(AL18,DATEN!$T$3:$AA$30,4,FALSE)*(AL20))</f>
        <v>0</v>
      </c>
      <c r="AM19" s="71">
        <f>IF(ISERROR(VLOOKUP(AM18,DATEN!$T$3:$AC$30,4,FALSE)),0,VLOOKUP(AM18,DATEN!$T$3:$AC$30,4,FALSE)*(AM20))</f>
        <v>0.32640000000000002</v>
      </c>
      <c r="AN19" s="71">
        <f>IF(ISERROR(VLOOKUP(AN18,DATEN!$T$3:$AC$30,4,FALSE)),0,VLOOKUP(AN18,DATEN!$T$3:$AC$30,4,FALSE)*(AN20))</f>
        <v>0</v>
      </c>
      <c r="AO19" s="71">
        <f>IF(ISERROR(VLOOKUP(AO18,DATEN!$T$3:$AC$30,4,FALSE)),0,VLOOKUP(AO18,DATEN!$T$3:$AC$30,4,FALSE)*(AO20))</f>
        <v>4.0104000000000006</v>
      </c>
      <c r="AP19" s="71">
        <f>IF(ISERROR(VLOOKUP(AP18,DATEN!$T$3:$AC$30,4,FALSE)),0,VLOOKUP(AP18,DATEN!$T$3:$AC$30,4,FALSE)*(AP20))</f>
        <v>59.22</v>
      </c>
      <c r="AQ19" s="71">
        <f>IF(ISNA(VLOOKUP(AQ18,$M$7:$R$14,6,FALSE)),0,VLOOKUP(AQ18,$M$7:$R$14,6,FALSE))</f>
        <v>0</v>
      </c>
      <c r="AR19" s="71">
        <f>IF(ISNA(VLOOKUP(AR18,$M$7:$R$14,6,FALSE)),0,VLOOKUP(AR18,$M$7:$R$14,6,FALSE))</f>
        <v>0</v>
      </c>
      <c r="AS19" s="82" t="e">
        <f>(VLOOKUP(AS18,$T$2:$AA$30,3,FALSE)/$AD18)+(VLOOKUP(AS18,$T$2:$AA$30,4,FALSE))</f>
        <v>#DIV/0!</v>
      </c>
      <c r="AT19" s="71" t="e">
        <f t="shared" ref="AT19" si="25">(VLOOKUP(AT18,$T$2:$AA$30,3,FALSE)/$AD18)+(VLOOKUP(AT18,$T$2:$AA$30,4,FALSE))</f>
        <v>#DIV/0!</v>
      </c>
      <c r="AU19" s="71" t="e">
        <f t="shared" ref="AU19" si="26">(VLOOKUP(AU18,$T$2:$AA$30,3,FALSE)/$AD18)+(VLOOKUP(AU18,$T$2:$AA$30,4,FALSE))</f>
        <v>#DIV/0!</v>
      </c>
      <c r="AV19" s="71" t="e">
        <f t="shared" ref="AV19" si="27">(VLOOKUP(AV18,$T$2:$AA$30,3,FALSE)/$AD18)+(VLOOKUP(AV18,$T$2:$AA$30,4,FALSE))</f>
        <v>#DIV/0!</v>
      </c>
      <c r="AW19" s="71" t="e">
        <f t="shared" ref="AW19" si="28">(VLOOKUP(AW18,$T$2:$AA$30,3,FALSE)/$AD18)+(VLOOKUP(AW18,$T$2:$AA$30,4,FALSE))</f>
        <v>#DIV/0!</v>
      </c>
      <c r="AX19" s="71" t="e">
        <f t="shared" ref="AX19" si="29">(VLOOKUP(AX18,$T$2:$AA$30,3,FALSE)/$AD18)+(VLOOKUP(AX18,$T$2:$AA$30,4,FALSE))</f>
        <v>#DIV/0!</v>
      </c>
      <c r="AY19" s="71" t="e">
        <f t="shared" ref="AY19" si="30">(VLOOKUP(AY18,$T$2:$AA$30,3,FALSE)/$AD18)+(VLOOKUP(AY18,$T$2:$AA$30,4,FALSE))</f>
        <v>#DIV/0!</v>
      </c>
      <c r="AZ19" s="71" t="e">
        <f t="shared" ref="AZ19" si="31">(VLOOKUP(AZ18,$T$2:$AA$30,3,FALSE)/$AD18)+(VLOOKUP(AZ18,$T$2:$AA$30,4,FALSE))</f>
        <v>#DIV/0!</v>
      </c>
      <c r="BA19" s="71" t="e">
        <f t="shared" ref="BA19" si="32">(VLOOKUP(BA18,$T$2:$AA$30,3,FALSE)/$AD18)+(VLOOKUP(BA18,$T$2:$AA$30,4,FALSE))</f>
        <v>#DIV/0!</v>
      </c>
      <c r="BB19" s="71" t="e">
        <f t="shared" ref="BB19" si="33">(VLOOKUP(BB18,$T$2:$AA$30,3,FALSE)/$AD18)+(VLOOKUP(BB18,$T$2:$AA$30,4,FALSE))</f>
        <v>#DIV/0!</v>
      </c>
      <c r="BC19" s="71" t="e">
        <f t="shared" ref="BC19" si="34">(VLOOKUP(BC18,$T$2:$AA$30,3,FALSE)/$AD18)+(VLOOKUP(BC18,$T$2:$AA$30,4,FALSE))</f>
        <v>#DIV/0!</v>
      </c>
      <c r="BD19" s="71" t="e">
        <f t="shared" ref="BD19" si="35">(VLOOKUP(BD18,$T$2:$AA$30,3,FALSE)/$AD18)+(VLOOKUP(BD18,$T$2:$AA$30,4,FALSE))</f>
        <v>#DIV/0!</v>
      </c>
      <c r="BE19" s="72" t="e">
        <f t="shared" ref="BE19" si="36">(VLOOKUP(BE18,$T$2:$AA$30,3,FALSE)/$AD18)+(VLOOKUP(BE18,$T$2:$AA$30,4,FALSE))</f>
        <v>#DIV/0!</v>
      </c>
      <c r="BF19" s="94">
        <f>BV19</f>
        <v>0</v>
      </c>
      <c r="BM19" s="208"/>
      <c r="BN19" s="106">
        <f>AD18</f>
        <v>0</v>
      </c>
      <c r="BO19" s="70">
        <f>AF20</f>
        <v>0</v>
      </c>
      <c r="BP19" s="70">
        <f>COUNT('Bestellung Commande'!K33:N33)</f>
        <v>0</v>
      </c>
      <c r="BQ19" s="9">
        <f>BO19*BP19*$V$44*BN19</f>
        <v>0</v>
      </c>
      <c r="BR19" s="9">
        <f>BP19*$W$44*BN19</f>
        <v>0</v>
      </c>
      <c r="BS19" s="9"/>
      <c r="BT19" s="9"/>
      <c r="BU19" s="9"/>
      <c r="BV19" s="90">
        <f>SUM(BQ19:BU19)</f>
        <v>0</v>
      </c>
    </row>
    <row r="20" spans="3:74" ht="15" thickBot="1" x14ac:dyDescent="0.25">
      <c r="I20" s="8" t="s">
        <v>8</v>
      </c>
      <c r="J20" s="8" t="s">
        <v>160</v>
      </c>
      <c r="T20" s="54" t="s">
        <v>89</v>
      </c>
      <c r="U20" t="s">
        <v>89</v>
      </c>
      <c r="V20" s="96"/>
      <c r="W20" s="96">
        <v>4.5</v>
      </c>
      <c r="X20" s="96"/>
      <c r="Y20" s="96"/>
      <c r="Z20" s="96"/>
      <c r="AA20" s="104"/>
      <c r="AC20" s="204"/>
      <c r="AD20" s="78"/>
      <c r="AE20" s="68" t="s">
        <v>107</v>
      </c>
      <c r="AF20" s="69">
        <f>'Bestellung Commande'!$F33/1000</f>
        <v>0</v>
      </c>
      <c r="AG20" s="69">
        <f>'Bestellung Commande'!$F33/1000</f>
        <v>0</v>
      </c>
      <c r="AH20" s="69">
        <f>'Bestellung Commande'!$F33/1000</f>
        <v>0</v>
      </c>
      <c r="AI20" s="69">
        <f>'Bestellung Commande'!$F33/1000</f>
        <v>0</v>
      </c>
      <c r="AJ20" s="69">
        <f>'Bestellung Commande'!$F33/1000</f>
        <v>0</v>
      </c>
      <c r="AK20" s="69">
        <f>'Bestellung Commande'!$F33/1000</f>
        <v>0</v>
      </c>
      <c r="AL20" s="69">
        <f>'Bestellung Commande'!$F33/1000</f>
        <v>0</v>
      </c>
      <c r="AM20" s="64">
        <v>2</v>
      </c>
      <c r="AN20" s="64">
        <v>0</v>
      </c>
      <c r="AO20" s="64">
        <v>2</v>
      </c>
      <c r="AP20" s="64">
        <v>2</v>
      </c>
      <c r="AQ20" s="80">
        <f>'Pos4'!$F$33</f>
        <v>0</v>
      </c>
      <c r="AR20" s="80">
        <f>'Pos4'!$G$33</f>
        <v>0</v>
      </c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83"/>
      <c r="BF20" s="93"/>
      <c r="BM20" s="209"/>
      <c r="BN20" s="78"/>
      <c r="BO20" s="68" t="s">
        <v>107</v>
      </c>
      <c r="BP20" s="68"/>
      <c r="BQ20" s="68"/>
      <c r="BR20" s="68"/>
      <c r="BS20" s="68"/>
      <c r="BT20" s="68"/>
      <c r="BU20" s="68"/>
      <c r="BV20" s="91"/>
    </row>
    <row r="21" spans="3:74" ht="15" thickBot="1" x14ac:dyDescent="0.25">
      <c r="I21" s="7" t="s">
        <v>53</v>
      </c>
      <c r="J21" s="7" t="s">
        <v>162</v>
      </c>
      <c r="T21" s="54" t="s">
        <v>90</v>
      </c>
      <c r="U21" t="s">
        <v>90</v>
      </c>
      <c r="V21" s="96"/>
      <c r="W21" s="96">
        <v>7.5</v>
      </c>
      <c r="X21" s="96"/>
      <c r="Y21" s="96"/>
      <c r="Z21" s="96"/>
      <c r="AA21" s="104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M21" s="9"/>
      <c r="BN21" s="9"/>
      <c r="BO21" s="9"/>
      <c r="BP21" s="9"/>
      <c r="BQ21" s="9"/>
      <c r="BR21" s="9"/>
      <c r="BS21" s="9"/>
      <c r="BT21" s="9"/>
      <c r="BU21" s="9"/>
      <c r="BV21" s="9"/>
    </row>
    <row r="22" spans="3:74" x14ac:dyDescent="0.2">
      <c r="I22" s="7" t="s">
        <v>163</v>
      </c>
      <c r="J22" s="7" t="s">
        <v>164</v>
      </c>
      <c r="T22" s="54" t="s">
        <v>161</v>
      </c>
      <c r="U22" t="s">
        <v>161</v>
      </c>
      <c r="V22" s="96">
        <v>35</v>
      </c>
      <c r="W22" s="96"/>
      <c r="X22" s="96"/>
      <c r="Y22" s="96"/>
      <c r="Z22" s="96"/>
      <c r="AA22" s="104"/>
      <c r="AC22" s="202">
        <f>'Bestellung Commande'!A35</f>
        <v>5</v>
      </c>
      <c r="AD22" s="76" t="s">
        <v>178</v>
      </c>
      <c r="AE22" s="67"/>
      <c r="AF22" s="61" t="str">
        <f>VLOOKUP(AF23,DATEN!$T$2:$AA$30,2,FALSE)</f>
        <v>Aluprofil</v>
      </c>
      <c r="AG22" s="61" t="str">
        <f>VLOOKUP(AG23,DATEN!$T$2:$AA$30,2,FALSE)</f>
        <v>KS-Trittschwelle</v>
      </c>
      <c r="AH22" s="61" t="s">
        <v>69</v>
      </c>
      <c r="AI22" s="61" t="s">
        <v>70</v>
      </c>
      <c r="AJ22" s="61" t="s">
        <v>71</v>
      </c>
      <c r="AK22" s="61" t="s">
        <v>72</v>
      </c>
      <c r="AL22" s="61" t="str">
        <f>VLOOKUP(AL23,DATEN!$T$2:$AA$30,2,FALSE)</f>
        <v>Anschlussdichtung</v>
      </c>
      <c r="AM22" s="61" t="str">
        <f>VLOOKUP(AM23,DATEN!$T$2:$AA$30,2,FALSE)</f>
        <v>Linsenschaube 4.8x28</v>
      </c>
      <c r="AN22" s="61" t="str">
        <f>VLOOKUP(AN23,DATEN!$T$2:$AA$30,2,FALSE)</f>
        <v>KS-Kupplungselemnt</v>
      </c>
      <c r="AO22" s="61" t="str">
        <f>VLOOKUP(AO23,DATEN!$T$2:$AA$30,2,FALSE)</f>
        <v>Dichtstück</v>
      </c>
      <c r="AP22" s="61" t="str">
        <f>VLOOKUP(AP23,DATEN!$T$2:$AA$30,2,FALSE)</f>
        <v>Endstück mit Entwässerung</v>
      </c>
      <c r="AQ22" s="61" t="s">
        <v>199</v>
      </c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5"/>
      <c r="BF22" s="17"/>
      <c r="BM22" s="207">
        <f>AC22</f>
        <v>5</v>
      </c>
      <c r="BN22" s="76" t="s">
        <v>178</v>
      </c>
      <c r="BO22" s="67" t="s">
        <v>13</v>
      </c>
      <c r="BP22" s="67" t="s">
        <v>23</v>
      </c>
      <c r="BQ22" s="67" t="s">
        <v>193</v>
      </c>
      <c r="BR22" s="67" t="s">
        <v>194</v>
      </c>
      <c r="BS22" s="67"/>
      <c r="BT22" s="67"/>
      <c r="BU22" s="67"/>
      <c r="BV22" s="95" t="s">
        <v>8</v>
      </c>
    </row>
    <row r="23" spans="3:74" x14ac:dyDescent="0.2">
      <c r="I23" s="7" t="s">
        <v>165</v>
      </c>
      <c r="J23" s="7" t="s">
        <v>166</v>
      </c>
      <c r="T23" s="54" t="s">
        <v>181</v>
      </c>
      <c r="U23" t="s">
        <v>180</v>
      </c>
      <c r="V23" s="96"/>
      <c r="W23" s="96"/>
      <c r="X23" s="96">
        <v>100</v>
      </c>
      <c r="Y23" s="96"/>
      <c r="Z23" s="96"/>
      <c r="AA23" s="104"/>
      <c r="AB23">
        <f>AB18+$AB$2</f>
        <v>51</v>
      </c>
      <c r="AC23" s="203"/>
      <c r="AD23" s="77">
        <f>'Bestellung Commande'!E35</f>
        <v>0</v>
      </c>
      <c r="AE23" s="9" t="s">
        <v>77</v>
      </c>
      <c r="AF23" s="62" t="s">
        <v>12</v>
      </c>
      <c r="AG23" s="62" t="s">
        <v>15</v>
      </c>
      <c r="AH23" s="63">
        <f>VLOOKUP('Bestellung Commande'!K35,DATEN!$A$3:$D$10,2,FALSE)</f>
        <v>0</v>
      </c>
      <c r="AI23" s="63">
        <f>VLOOKUP('Bestellung Commande'!L35,DATEN!$A$3:$D$10,2,FALSE)</f>
        <v>0</v>
      </c>
      <c r="AJ23" s="63">
        <f>VLOOKUP('Bestellung Commande'!M35,DATEN!$A$3:$D$10,2,FALSE)</f>
        <v>0</v>
      </c>
      <c r="AK23" s="63">
        <f>VLOOKUP('Bestellung Commande'!N35,DATEN!$A$3:$D$10,2,FALSE)</f>
        <v>0</v>
      </c>
      <c r="AL23" s="62" t="s">
        <v>82</v>
      </c>
      <c r="AM23" s="62" t="s">
        <v>83</v>
      </c>
      <c r="AN23" s="62" t="s">
        <v>84</v>
      </c>
      <c r="AO23" s="62" t="s">
        <v>85</v>
      </c>
      <c r="AP23" s="62" t="s">
        <v>86</v>
      </c>
      <c r="AQ23" s="62" t="str">
        <f>IF(ISNA('Pos5'!$F$31),"",'Pos5'!$F$31)</f>
        <v/>
      </c>
      <c r="AR23" s="62" t="str">
        <f>IF(ISNA('Pos5'!$F$31),"",'Pos5'!$F$31)</f>
        <v/>
      </c>
      <c r="AS23" s="81" t="str">
        <f>$T$18</f>
        <v>Rüsten</v>
      </c>
      <c r="AT23" s="62" t="str">
        <f>$T$19</f>
        <v>Sägen</v>
      </c>
      <c r="AU23" s="62" t="str">
        <f>$T$20</f>
        <v>Bohren</v>
      </c>
      <c r="AV23" s="62" t="str">
        <f>$T$21</f>
        <v>Kleben</v>
      </c>
      <c r="AW23" s="62" t="str">
        <f>$T$22</f>
        <v>Montage</v>
      </c>
      <c r="AX23" s="62" t="str">
        <f>$T$23</f>
        <v>Spedi</v>
      </c>
      <c r="AY23" s="62" t="str">
        <f>$T$24</f>
        <v>Steg</v>
      </c>
      <c r="AZ23" s="62" t="str">
        <f>$T$25</f>
        <v>Job 8</v>
      </c>
      <c r="BA23" s="62" t="str">
        <f>$T$26</f>
        <v>Job 9</v>
      </c>
      <c r="BB23" s="62" t="str">
        <f>$T$27</f>
        <v>Job 10</v>
      </c>
      <c r="BC23" s="62" t="str">
        <f>$T$28</f>
        <v>Job 11</v>
      </c>
      <c r="BD23" s="62" t="str">
        <f>$T$29</f>
        <v>Job 12</v>
      </c>
      <c r="BE23" s="66" t="str">
        <f>$T$30</f>
        <v>Job 13</v>
      </c>
      <c r="BF23" s="93"/>
      <c r="BM23" s="208"/>
      <c r="BO23" t="s">
        <v>77</v>
      </c>
      <c r="BQ23" s="9"/>
      <c r="BR23" s="9"/>
      <c r="BS23" s="9"/>
      <c r="BT23" s="9"/>
      <c r="BU23" s="9"/>
      <c r="BV23" s="90"/>
    </row>
    <row r="24" spans="3:74" ht="15" x14ac:dyDescent="0.25">
      <c r="T24" s="54" t="s">
        <v>186</v>
      </c>
      <c r="U24" t="s">
        <v>179</v>
      </c>
      <c r="V24" s="96"/>
      <c r="W24" s="96"/>
      <c r="X24" s="96"/>
      <c r="Y24" s="96"/>
      <c r="Z24" s="96"/>
      <c r="AA24" s="104"/>
      <c r="AC24" s="203"/>
      <c r="AD24" s="77"/>
      <c r="AE24" s="70">
        <f>IF(ISERROR(SUM(AF24:BF24)),0,SUM(AF24:BF24))</f>
        <v>0</v>
      </c>
      <c r="AF24" s="71">
        <f>IF(ISERROR(VLOOKUP(AF23,DATEN!$T$3:$AA$30,4,FALSE)),0,VLOOKUP(AF23,DATEN!$T$3:$AA$30,4,FALSE)*(AF25))</f>
        <v>0</v>
      </c>
      <c r="AG24" s="71">
        <f>IF(ISERROR(VLOOKUP(AG23,DATEN!$T$3:$AA$30,4,FALSE)),0,VLOOKUP(AG23,DATEN!$T$3:$AA$30,4,FALSE)*(AG25))</f>
        <v>0</v>
      </c>
      <c r="AH24" s="71">
        <f>IF(ISERROR(VLOOKUP(AH23,DATEN!$T$3:$AA$30,4,FALSE)),0,VLOOKUP(AH23,DATEN!$T$3:$AA$30,4,FALSE)*(AH25))</f>
        <v>0</v>
      </c>
      <c r="AI24" s="71">
        <f>IF(ISERROR(VLOOKUP(AI23,DATEN!$T$3:$AA$30,4,FALSE)),0,VLOOKUP(AI23,DATEN!$T$3:$AA$30,4,FALSE)*(AI25))</f>
        <v>0</v>
      </c>
      <c r="AJ24" s="71">
        <f>IF(ISERROR(VLOOKUP(AJ23,DATEN!$T$3:$AA$30,4,FALSE)),0,VLOOKUP(AJ23,DATEN!$T$3:$AA$30,4,FALSE)*(AJ25))</f>
        <v>0</v>
      </c>
      <c r="AK24" s="71">
        <f>IF(ISERROR(VLOOKUP(AK23,DATEN!$T$3:$AA$30,4,FALSE)),0,VLOOKUP(AK23,DATEN!$T$3:$AA$30,4,FALSE)*(AK25))</f>
        <v>0</v>
      </c>
      <c r="AL24" s="71">
        <f>IF(ISERROR(VLOOKUP(AL23,DATEN!$T$3:$AA$30,4,FALSE)),0,VLOOKUP(AL23,DATEN!$T$3:$AA$30,4,FALSE)*(AL25))</f>
        <v>0</v>
      </c>
      <c r="AM24" s="71">
        <f>IF(ISERROR(VLOOKUP(AM23,DATEN!$T$3:$AC$30,4,FALSE)),0,VLOOKUP(AM23,DATEN!$T$3:$AC$30,4,FALSE)*(AM25))</f>
        <v>0.32640000000000002</v>
      </c>
      <c r="AN24" s="71">
        <f>IF(ISERROR(VLOOKUP(AN23,DATEN!$T$3:$AC$30,4,FALSE)),0,VLOOKUP(AN23,DATEN!$T$3:$AC$30,4,FALSE)*(AN25))</f>
        <v>0</v>
      </c>
      <c r="AO24" s="71">
        <f>IF(ISERROR(VLOOKUP(AO23,DATEN!$T$3:$AC$30,4,FALSE)),0,VLOOKUP(AO23,DATEN!$T$3:$AC$30,4,FALSE)*(AO25))</f>
        <v>4.0104000000000006</v>
      </c>
      <c r="AP24" s="71">
        <f>IF(ISERROR(VLOOKUP(AP23,DATEN!$T$3:$AC$30,4,FALSE)),0,VLOOKUP(AP23,DATEN!$T$3:$AC$30,4,FALSE)*(AP25))</f>
        <v>59.22</v>
      </c>
      <c r="AQ24" s="71">
        <f>IF(ISNA(VLOOKUP(AQ23,$M$7:$R$14,6,FALSE)),0,VLOOKUP(AQ23,$M$7:$R$14,6,FALSE))</f>
        <v>0</v>
      </c>
      <c r="AR24" s="71">
        <f>IF(ISNA(VLOOKUP(AR23,$M$7:$R$14,6,FALSE)),0,VLOOKUP(AR23,$M$7:$R$14,6,FALSE))</f>
        <v>0</v>
      </c>
      <c r="AS24" s="82" t="e">
        <f>(VLOOKUP(AS23,$T$2:$AA$30,3,FALSE)/$AD23)+(VLOOKUP(AS23,$T$2:$AA$30,4,FALSE))</f>
        <v>#DIV/0!</v>
      </c>
      <c r="AT24" s="71" t="e">
        <f t="shared" ref="AT24" si="37">(VLOOKUP(AT23,$T$2:$AA$30,3,FALSE)/$AD23)+(VLOOKUP(AT23,$T$2:$AA$30,4,FALSE))</f>
        <v>#DIV/0!</v>
      </c>
      <c r="AU24" s="71" t="e">
        <f t="shared" ref="AU24" si="38">(VLOOKUP(AU23,$T$2:$AA$30,3,FALSE)/$AD23)+(VLOOKUP(AU23,$T$2:$AA$30,4,FALSE))</f>
        <v>#DIV/0!</v>
      </c>
      <c r="AV24" s="71" t="e">
        <f t="shared" ref="AV24" si="39">(VLOOKUP(AV23,$T$2:$AA$30,3,FALSE)/$AD23)+(VLOOKUP(AV23,$T$2:$AA$30,4,FALSE))</f>
        <v>#DIV/0!</v>
      </c>
      <c r="AW24" s="71" t="e">
        <f t="shared" ref="AW24" si="40">(VLOOKUP(AW23,$T$2:$AA$30,3,FALSE)/$AD23)+(VLOOKUP(AW23,$T$2:$AA$30,4,FALSE))</f>
        <v>#DIV/0!</v>
      </c>
      <c r="AX24" s="71" t="e">
        <f t="shared" ref="AX24" si="41">(VLOOKUP(AX23,$T$2:$AA$30,3,FALSE)/$AD23)+(VLOOKUP(AX23,$T$2:$AA$30,4,FALSE))</f>
        <v>#DIV/0!</v>
      </c>
      <c r="AY24" s="71" t="e">
        <f t="shared" ref="AY24" si="42">(VLOOKUP(AY23,$T$2:$AA$30,3,FALSE)/$AD23)+(VLOOKUP(AY23,$T$2:$AA$30,4,FALSE))</f>
        <v>#DIV/0!</v>
      </c>
      <c r="AZ24" s="71" t="e">
        <f t="shared" ref="AZ24" si="43">(VLOOKUP(AZ23,$T$2:$AA$30,3,FALSE)/$AD23)+(VLOOKUP(AZ23,$T$2:$AA$30,4,FALSE))</f>
        <v>#DIV/0!</v>
      </c>
      <c r="BA24" s="71" t="e">
        <f t="shared" ref="BA24" si="44">(VLOOKUP(BA23,$T$2:$AA$30,3,FALSE)/$AD23)+(VLOOKUP(BA23,$T$2:$AA$30,4,FALSE))</f>
        <v>#DIV/0!</v>
      </c>
      <c r="BB24" s="71" t="e">
        <f t="shared" ref="BB24" si="45">(VLOOKUP(BB23,$T$2:$AA$30,3,FALSE)/$AD23)+(VLOOKUP(BB23,$T$2:$AA$30,4,FALSE))</f>
        <v>#DIV/0!</v>
      </c>
      <c r="BC24" s="71" t="e">
        <f t="shared" ref="BC24" si="46">(VLOOKUP(BC23,$T$2:$AA$30,3,FALSE)/$AD23)+(VLOOKUP(BC23,$T$2:$AA$30,4,FALSE))</f>
        <v>#DIV/0!</v>
      </c>
      <c r="BD24" s="71" t="e">
        <f t="shared" ref="BD24" si="47">(VLOOKUP(BD23,$T$2:$AA$30,3,FALSE)/$AD23)+(VLOOKUP(BD23,$T$2:$AA$30,4,FALSE))</f>
        <v>#DIV/0!</v>
      </c>
      <c r="BE24" s="72" t="e">
        <f t="shared" ref="BE24" si="48">(VLOOKUP(BE23,$T$2:$AA$30,3,FALSE)/$AD23)+(VLOOKUP(BE23,$T$2:$AA$30,4,FALSE))</f>
        <v>#DIV/0!</v>
      </c>
      <c r="BF24" s="94">
        <f>BV24</f>
        <v>0</v>
      </c>
      <c r="BM24" s="208"/>
      <c r="BN24" s="106">
        <f>AD23</f>
        <v>0</v>
      </c>
      <c r="BO24" s="70">
        <f>AF25</f>
        <v>0</v>
      </c>
      <c r="BP24" s="70">
        <f>COUNT('Bestellung Commande'!K35:N35)</f>
        <v>0</v>
      </c>
      <c r="BQ24" s="9">
        <f>BO24*BP24*$V$44*BN24</f>
        <v>0</v>
      </c>
      <c r="BR24" s="9">
        <f>BP24*$W$44*BN24</f>
        <v>0</v>
      </c>
      <c r="BS24" s="9"/>
      <c r="BT24" s="9"/>
      <c r="BU24" s="9"/>
      <c r="BV24" s="90">
        <f>SUM(BQ24:BU24)</f>
        <v>0</v>
      </c>
    </row>
    <row r="25" spans="3:74" ht="15" thickBot="1" x14ac:dyDescent="0.25">
      <c r="I25" s="7" t="s">
        <v>214</v>
      </c>
      <c r="J25" s="7" t="s">
        <v>215</v>
      </c>
      <c r="T25" s="54" t="s">
        <v>172</v>
      </c>
      <c r="V25" s="96"/>
      <c r="W25" s="96"/>
      <c r="X25" s="96"/>
      <c r="Y25" s="96"/>
      <c r="Z25" s="96"/>
      <c r="AA25" s="104"/>
      <c r="AC25" s="204"/>
      <c r="AD25" s="78"/>
      <c r="AE25" s="68" t="s">
        <v>107</v>
      </c>
      <c r="AF25" s="69">
        <f>'Bestellung Commande'!$F35/1000</f>
        <v>0</v>
      </c>
      <c r="AG25" s="69">
        <f>'Bestellung Commande'!$F35/1000</f>
        <v>0</v>
      </c>
      <c r="AH25" s="69">
        <f>'Bestellung Commande'!$F35/1000</f>
        <v>0</v>
      </c>
      <c r="AI25" s="69">
        <f>'Bestellung Commande'!$F35/1000</f>
        <v>0</v>
      </c>
      <c r="AJ25" s="69">
        <f>'Bestellung Commande'!$F35/1000</f>
        <v>0</v>
      </c>
      <c r="AK25" s="69">
        <f>'Bestellung Commande'!$F35/1000</f>
        <v>0</v>
      </c>
      <c r="AL25" s="69">
        <f>'Bestellung Commande'!$F35/1000</f>
        <v>0</v>
      </c>
      <c r="AM25" s="64">
        <v>2</v>
      </c>
      <c r="AN25" s="64">
        <v>0</v>
      </c>
      <c r="AO25" s="64">
        <v>2</v>
      </c>
      <c r="AP25" s="64">
        <v>2</v>
      </c>
      <c r="AQ25" s="80">
        <f>'Pos5'!$F$33</f>
        <v>0</v>
      </c>
      <c r="AR25" s="80">
        <f>'Pos5'!$G$33</f>
        <v>0</v>
      </c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83"/>
      <c r="BF25" s="93"/>
      <c r="BM25" s="209"/>
      <c r="BN25" s="78"/>
      <c r="BO25" s="68" t="s">
        <v>107</v>
      </c>
      <c r="BP25" s="68"/>
      <c r="BQ25" s="68"/>
      <c r="BR25" s="68"/>
      <c r="BS25" s="68"/>
      <c r="BT25" s="68"/>
      <c r="BU25" s="68"/>
      <c r="BV25" s="91"/>
    </row>
    <row r="26" spans="3:74" ht="15" thickBot="1" x14ac:dyDescent="0.25">
      <c r="I26" s="7" t="s">
        <v>290</v>
      </c>
      <c r="J26" s="7" t="s">
        <v>291</v>
      </c>
      <c r="T26" s="54" t="s">
        <v>173</v>
      </c>
      <c r="V26" s="96"/>
      <c r="W26" s="96"/>
      <c r="X26" s="96"/>
      <c r="Y26" s="96"/>
      <c r="Z26" s="96"/>
      <c r="AA26" s="104"/>
    </row>
    <row r="27" spans="3:74" x14ac:dyDescent="0.2">
      <c r="I27" s="7"/>
      <c r="J27" s="7"/>
      <c r="T27" s="54" t="s">
        <v>174</v>
      </c>
      <c r="V27" s="96"/>
      <c r="W27" s="96"/>
      <c r="X27" s="96"/>
      <c r="Y27" s="96"/>
      <c r="Z27" s="96"/>
      <c r="AA27" s="104"/>
      <c r="AC27" s="202">
        <f>'Bestellung Commande'!A37</f>
        <v>6</v>
      </c>
      <c r="AD27" s="76" t="s">
        <v>178</v>
      </c>
      <c r="AE27" s="67"/>
      <c r="AF27" s="61" t="str">
        <f>VLOOKUP(AF28,DATEN!$T$2:$AA$30,2,FALSE)</f>
        <v>Aluprofil</v>
      </c>
      <c r="AG27" s="61" t="str">
        <f>VLOOKUP(AG28,DATEN!$T$2:$AA$30,2,FALSE)</f>
        <v>KS-Trittschwelle</v>
      </c>
      <c r="AH27" s="61" t="s">
        <v>69</v>
      </c>
      <c r="AI27" s="61" t="s">
        <v>70</v>
      </c>
      <c r="AJ27" s="61" t="s">
        <v>71</v>
      </c>
      <c r="AK27" s="61" t="s">
        <v>72</v>
      </c>
      <c r="AL27" s="61" t="str">
        <f>VLOOKUP(AL28,DATEN!$T$2:$AA$30,2,FALSE)</f>
        <v>Anschlussdichtung</v>
      </c>
      <c r="AM27" s="61" t="str">
        <f>VLOOKUP(AM28,DATEN!$T$2:$AA$30,2,FALSE)</f>
        <v>Linsenschaube 4.8x28</v>
      </c>
      <c r="AN27" s="61" t="str">
        <f>VLOOKUP(AN28,DATEN!$T$2:$AA$30,2,FALSE)</f>
        <v>KS-Kupplungselemnt</v>
      </c>
      <c r="AO27" s="61" t="str">
        <f>VLOOKUP(AO28,DATEN!$T$2:$AA$30,2,FALSE)</f>
        <v>Dichtstück</v>
      </c>
      <c r="AP27" s="61" t="str">
        <f>VLOOKUP(AP28,DATEN!$T$2:$AA$30,2,FALSE)</f>
        <v>Endstück mit Entwässerung</v>
      </c>
      <c r="AQ27" s="61" t="s">
        <v>199</v>
      </c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5"/>
      <c r="BF27" s="17"/>
      <c r="BM27" s="207">
        <f>AC27</f>
        <v>6</v>
      </c>
      <c r="BN27" s="76" t="s">
        <v>178</v>
      </c>
      <c r="BO27" s="67" t="s">
        <v>13</v>
      </c>
      <c r="BP27" s="67" t="s">
        <v>23</v>
      </c>
      <c r="BQ27" s="67" t="s">
        <v>193</v>
      </c>
      <c r="BR27" s="67" t="s">
        <v>194</v>
      </c>
      <c r="BS27" s="67"/>
      <c r="BT27" s="67"/>
      <c r="BU27" s="67"/>
      <c r="BV27" s="95" t="s">
        <v>8</v>
      </c>
    </row>
    <row r="28" spans="3:74" x14ac:dyDescent="0.2">
      <c r="I28" s="7"/>
      <c r="J28" s="7"/>
      <c r="T28" s="54" t="s">
        <v>175</v>
      </c>
      <c r="V28" s="96"/>
      <c r="W28" s="96"/>
      <c r="X28" s="96"/>
      <c r="Y28" s="96"/>
      <c r="Z28" s="96"/>
      <c r="AA28" s="104"/>
      <c r="AB28">
        <f>AB23+$AB$2</f>
        <v>56</v>
      </c>
      <c r="AC28" s="203"/>
      <c r="AD28" s="77">
        <f>'Bestellung Commande'!E37</f>
        <v>0</v>
      </c>
      <c r="AE28" s="9" t="s">
        <v>77</v>
      </c>
      <c r="AF28" s="62" t="s">
        <v>12</v>
      </c>
      <c r="AG28" s="62" t="s">
        <v>15</v>
      </c>
      <c r="AH28" s="63">
        <f>VLOOKUP('Bestellung Commande'!K37,DATEN!$A$3:$D$10,2,FALSE)</f>
        <v>0</v>
      </c>
      <c r="AI28" s="63">
        <f>VLOOKUP('Bestellung Commande'!L37,DATEN!$A$3:$D$10,2,FALSE)</f>
        <v>0</v>
      </c>
      <c r="AJ28" s="63">
        <f>VLOOKUP('Bestellung Commande'!M37,DATEN!$A$3:$D$10,2,FALSE)</f>
        <v>0</v>
      </c>
      <c r="AK28" s="63">
        <f>VLOOKUP('Bestellung Commande'!N37,DATEN!$A$3:$D$10,2,FALSE)</f>
        <v>0</v>
      </c>
      <c r="AL28" s="62" t="s">
        <v>82</v>
      </c>
      <c r="AM28" s="62" t="s">
        <v>83</v>
      </c>
      <c r="AN28" s="62" t="s">
        <v>84</v>
      </c>
      <c r="AO28" s="62" t="s">
        <v>85</v>
      </c>
      <c r="AP28" s="62" t="s">
        <v>86</v>
      </c>
      <c r="AQ28" s="62" t="str">
        <f>IF(ISNA('Pos6'!$F$31),"",'Pos6'!$F$31)</f>
        <v/>
      </c>
      <c r="AR28" s="62" t="str">
        <f>IF(ISNA('Pos6'!$F$31),"",'Pos6'!$F$31)</f>
        <v/>
      </c>
      <c r="AS28" s="81" t="str">
        <f>$T$18</f>
        <v>Rüsten</v>
      </c>
      <c r="AT28" s="62" t="str">
        <f>$T$19</f>
        <v>Sägen</v>
      </c>
      <c r="AU28" s="62" t="str">
        <f>$T$20</f>
        <v>Bohren</v>
      </c>
      <c r="AV28" s="62" t="str">
        <f>$T$21</f>
        <v>Kleben</v>
      </c>
      <c r="AW28" s="62" t="str">
        <f>$T$22</f>
        <v>Montage</v>
      </c>
      <c r="AX28" s="62" t="str">
        <f>$T$23</f>
        <v>Spedi</v>
      </c>
      <c r="AY28" s="62" t="str">
        <f>$T$24</f>
        <v>Steg</v>
      </c>
      <c r="AZ28" s="62" t="str">
        <f>$T$25</f>
        <v>Job 8</v>
      </c>
      <c r="BA28" s="62" t="str">
        <f>$T$26</f>
        <v>Job 9</v>
      </c>
      <c r="BB28" s="62" t="str">
        <f>$T$27</f>
        <v>Job 10</v>
      </c>
      <c r="BC28" s="62" t="str">
        <f>$T$28</f>
        <v>Job 11</v>
      </c>
      <c r="BD28" s="62" t="str">
        <f>$T$29</f>
        <v>Job 12</v>
      </c>
      <c r="BE28" s="66" t="str">
        <f>$T$30</f>
        <v>Job 13</v>
      </c>
      <c r="BF28" s="93"/>
      <c r="BM28" s="208"/>
      <c r="BO28" t="s">
        <v>77</v>
      </c>
      <c r="BQ28" s="9"/>
      <c r="BR28" s="9"/>
      <c r="BS28" s="9"/>
      <c r="BT28" s="9"/>
      <c r="BU28" s="9"/>
      <c r="BV28" s="90"/>
    </row>
    <row r="29" spans="3:74" ht="15" customHeight="1" x14ac:dyDescent="0.25">
      <c r="I29" s="7"/>
      <c r="J29" s="7"/>
      <c r="T29" s="54" t="s">
        <v>176</v>
      </c>
      <c r="V29" s="96"/>
      <c r="W29" s="96"/>
      <c r="X29" s="96"/>
      <c r="Y29" s="96"/>
      <c r="Z29" s="96"/>
      <c r="AA29" s="104"/>
      <c r="AC29" s="203"/>
      <c r="AD29" s="77"/>
      <c r="AE29" s="70">
        <f>IF(ISERROR(SUM(AF29:BF29)),0,SUM(AF29:BF29))</f>
        <v>0</v>
      </c>
      <c r="AF29" s="71">
        <f>IF(ISERROR(VLOOKUP(AF28,DATEN!$T$3:$AA$30,4,FALSE)),0,VLOOKUP(AF28,DATEN!$T$3:$AA$30,4,FALSE)*(AF30))</f>
        <v>0</v>
      </c>
      <c r="AG29" s="71">
        <f>IF(ISERROR(VLOOKUP(AG28,DATEN!$T$3:$AA$30,4,FALSE)),0,VLOOKUP(AG28,DATEN!$T$3:$AA$30,4,FALSE)*(AG30))</f>
        <v>0</v>
      </c>
      <c r="AH29" s="71">
        <f>IF(ISERROR(VLOOKUP(AH28,DATEN!$T$3:$AA$30,4,FALSE)),0,VLOOKUP(AH28,DATEN!$T$3:$AA$30,4,FALSE)*(AH30))</f>
        <v>0</v>
      </c>
      <c r="AI29" s="71">
        <f>IF(ISERROR(VLOOKUP(AI28,DATEN!$T$3:$AA$30,4,FALSE)),0,VLOOKUP(AI28,DATEN!$T$3:$AA$30,4,FALSE)*(AI30))</f>
        <v>0</v>
      </c>
      <c r="AJ29" s="71">
        <f>IF(ISERROR(VLOOKUP(AJ28,DATEN!$T$3:$AA$30,4,FALSE)),0,VLOOKUP(AJ28,DATEN!$T$3:$AA$30,4,FALSE)*(AJ30))</f>
        <v>0</v>
      </c>
      <c r="AK29" s="71">
        <f>IF(ISERROR(VLOOKUP(AK28,DATEN!$T$3:$AA$30,4,FALSE)),0,VLOOKUP(AK28,DATEN!$T$3:$AA$30,4,FALSE)*(AK30))</f>
        <v>0</v>
      </c>
      <c r="AL29" s="71">
        <f>IF(ISERROR(VLOOKUP(AL28,DATEN!$T$3:$AA$30,4,FALSE)),0,VLOOKUP(AL28,DATEN!$T$3:$AA$30,4,FALSE)*(AL30))</f>
        <v>0</v>
      </c>
      <c r="AM29" s="71">
        <f>IF(ISERROR(VLOOKUP(AM28,DATEN!$T$3:$AC$30,4,FALSE)),0,VLOOKUP(AM28,DATEN!$T$3:$AC$30,4,FALSE)*(AM30))</f>
        <v>0.32640000000000002</v>
      </c>
      <c r="AN29" s="71">
        <f>IF(ISERROR(VLOOKUP(AN28,DATEN!$T$3:$AC$30,4,FALSE)),0,VLOOKUP(AN28,DATEN!$T$3:$AC$30,4,FALSE)*(AN30))</f>
        <v>0</v>
      </c>
      <c r="AO29" s="71">
        <f>IF(ISERROR(VLOOKUP(AO28,DATEN!$T$3:$AC$30,4,FALSE)),0,VLOOKUP(AO28,DATEN!$T$3:$AC$30,4,FALSE)*(AO30))</f>
        <v>4.0104000000000006</v>
      </c>
      <c r="AP29" s="71">
        <f>IF(ISERROR(VLOOKUP(AP28,DATEN!$T$3:$AC$30,4,FALSE)),0,VLOOKUP(AP28,DATEN!$T$3:$AC$30,4,FALSE)*(AP30))</f>
        <v>59.22</v>
      </c>
      <c r="AQ29" s="71">
        <f>IF(ISNA(VLOOKUP(AQ28,$M$7:$R$14,6,FALSE)),0,VLOOKUP(AQ28,$M$7:$R$14,6,FALSE))</f>
        <v>0</v>
      </c>
      <c r="AR29" s="71">
        <f>IF(ISNA(VLOOKUP(AR28,$M$7:$R$14,6,FALSE)),0,VLOOKUP(AR28,$M$7:$R$14,6,FALSE))</f>
        <v>0</v>
      </c>
      <c r="AS29" s="82" t="e">
        <f>(VLOOKUP(AS28,$T$2:$AA$30,3,FALSE)/$AD28)+(VLOOKUP(AS28,$T$2:$AA$30,4,FALSE))</f>
        <v>#DIV/0!</v>
      </c>
      <c r="AT29" s="71" t="e">
        <f t="shared" ref="AT29:BE29" si="49">(VLOOKUP(AT28,$T$2:$AA$30,3,FALSE)/$AD28)+(VLOOKUP(AT28,$T$2:$AA$30,4,FALSE))</f>
        <v>#DIV/0!</v>
      </c>
      <c r="AU29" s="71" t="e">
        <f t="shared" si="49"/>
        <v>#DIV/0!</v>
      </c>
      <c r="AV29" s="71" t="e">
        <f t="shared" si="49"/>
        <v>#DIV/0!</v>
      </c>
      <c r="AW29" s="71" t="e">
        <f t="shared" si="49"/>
        <v>#DIV/0!</v>
      </c>
      <c r="AX29" s="71" t="e">
        <f t="shared" si="49"/>
        <v>#DIV/0!</v>
      </c>
      <c r="AY29" s="71" t="e">
        <f t="shared" si="49"/>
        <v>#DIV/0!</v>
      </c>
      <c r="AZ29" s="71" t="e">
        <f t="shared" si="49"/>
        <v>#DIV/0!</v>
      </c>
      <c r="BA29" s="71" t="e">
        <f t="shared" si="49"/>
        <v>#DIV/0!</v>
      </c>
      <c r="BB29" s="71" t="e">
        <f t="shared" si="49"/>
        <v>#DIV/0!</v>
      </c>
      <c r="BC29" s="71" t="e">
        <f t="shared" si="49"/>
        <v>#DIV/0!</v>
      </c>
      <c r="BD29" s="71" t="e">
        <f t="shared" si="49"/>
        <v>#DIV/0!</v>
      </c>
      <c r="BE29" s="72" t="e">
        <f t="shared" si="49"/>
        <v>#DIV/0!</v>
      </c>
      <c r="BF29" s="94">
        <f>BV29</f>
        <v>0</v>
      </c>
      <c r="BM29" s="208"/>
      <c r="BN29" s="106">
        <f>AD28</f>
        <v>0</v>
      </c>
      <c r="BO29" s="70">
        <f>AF30</f>
        <v>0</v>
      </c>
      <c r="BP29" s="70">
        <f>COUNT('Bestellung Commande'!K37:N37)</f>
        <v>0</v>
      </c>
      <c r="BQ29" s="9">
        <f>BO29*BP29*$V$44*BN29</f>
        <v>0</v>
      </c>
      <c r="BR29" s="9">
        <f>BP29*$W$44*BN29</f>
        <v>0</v>
      </c>
      <c r="BS29" s="9"/>
      <c r="BT29" s="9"/>
      <c r="BU29" s="9"/>
      <c r="BV29" s="90">
        <f>SUM(BQ29:BU29)</f>
        <v>0</v>
      </c>
    </row>
    <row r="30" spans="3:74" ht="15" thickBot="1" x14ac:dyDescent="0.25">
      <c r="T30" s="56" t="s">
        <v>177</v>
      </c>
      <c r="U30" s="57"/>
      <c r="V30" s="97"/>
      <c r="W30" s="97"/>
      <c r="X30" s="97"/>
      <c r="Y30" s="97"/>
      <c r="Z30" s="97"/>
      <c r="AA30" s="105"/>
      <c r="AC30" s="204"/>
      <c r="AD30" s="78"/>
      <c r="AE30" s="68" t="s">
        <v>107</v>
      </c>
      <c r="AF30" s="69">
        <f>'Bestellung Commande'!$F37/1000</f>
        <v>0</v>
      </c>
      <c r="AG30" s="69">
        <f>'Bestellung Commande'!$F37/1000</f>
        <v>0</v>
      </c>
      <c r="AH30" s="69">
        <f>'Bestellung Commande'!$F37/1000</f>
        <v>0</v>
      </c>
      <c r="AI30" s="69">
        <f>'Bestellung Commande'!$F40/1000</f>
        <v>0</v>
      </c>
      <c r="AJ30" s="69">
        <f>'Bestellung Commande'!$F40/1000</f>
        <v>0</v>
      </c>
      <c r="AK30" s="69">
        <f>'Bestellung Commande'!$F40/1000</f>
        <v>0</v>
      </c>
      <c r="AL30" s="69">
        <f>'Bestellung Commande'!$F37/1000</f>
        <v>0</v>
      </c>
      <c r="AM30" s="64">
        <v>2</v>
      </c>
      <c r="AN30" s="64">
        <v>0</v>
      </c>
      <c r="AO30" s="64">
        <v>2</v>
      </c>
      <c r="AP30" s="64">
        <v>2</v>
      </c>
      <c r="AQ30" s="80">
        <f>'Pos6'!$F$33</f>
        <v>0</v>
      </c>
      <c r="AR30" s="80">
        <f>'Pos6'!$G$33</f>
        <v>0</v>
      </c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83"/>
      <c r="BF30" s="93"/>
      <c r="BM30" s="209"/>
      <c r="BN30" s="78"/>
      <c r="BO30" s="68" t="s">
        <v>107</v>
      </c>
      <c r="BP30" s="68"/>
      <c r="BQ30" s="68"/>
      <c r="BR30" s="68"/>
      <c r="BS30" s="68"/>
      <c r="BT30" s="68"/>
      <c r="BU30" s="68"/>
      <c r="BV30" s="91"/>
    </row>
    <row r="31" spans="3:74" ht="15" thickBot="1" x14ac:dyDescent="0.25">
      <c r="I31" s="7" t="s">
        <v>167</v>
      </c>
      <c r="J31" s="7" t="s">
        <v>168</v>
      </c>
    </row>
    <row r="32" spans="3:74" x14ac:dyDescent="0.2">
      <c r="I32" s="7" t="s">
        <v>183</v>
      </c>
      <c r="J32" s="7" t="s">
        <v>184</v>
      </c>
      <c r="AC32" s="202">
        <f>'Bestellung Commande'!A39</f>
        <v>7</v>
      </c>
      <c r="AD32" s="76" t="s">
        <v>178</v>
      </c>
      <c r="AE32" s="67"/>
      <c r="AF32" s="61" t="str">
        <f>VLOOKUP(AF33,DATEN!$T$2:$AA$30,2,FALSE)</f>
        <v>Aluprofil</v>
      </c>
      <c r="AG32" s="61" t="str">
        <f>VLOOKUP(AG33,DATEN!$T$2:$AA$30,2,FALSE)</f>
        <v>KS-Trittschwelle</v>
      </c>
      <c r="AH32" s="61" t="s">
        <v>69</v>
      </c>
      <c r="AI32" s="61" t="s">
        <v>70</v>
      </c>
      <c r="AJ32" s="61" t="s">
        <v>71</v>
      </c>
      <c r="AK32" s="61" t="s">
        <v>72</v>
      </c>
      <c r="AL32" s="61" t="str">
        <f>VLOOKUP(AL33,DATEN!$T$2:$AA$30,2,FALSE)</f>
        <v>Anschlussdichtung</v>
      </c>
      <c r="AM32" s="61" t="str">
        <f>VLOOKUP(AM33,DATEN!$T$2:$AA$30,2,FALSE)</f>
        <v>Linsenschaube 4.8x28</v>
      </c>
      <c r="AN32" s="61" t="str">
        <f>VLOOKUP(AN33,DATEN!$T$2:$AA$30,2,FALSE)</f>
        <v>KS-Kupplungselemnt</v>
      </c>
      <c r="AO32" s="61" t="str">
        <f>VLOOKUP(AO33,DATEN!$T$2:$AA$30,2,FALSE)</f>
        <v>Dichtstück</v>
      </c>
      <c r="AP32" s="61" t="str">
        <f>VLOOKUP(AP33,DATEN!$T$2:$AA$30,2,FALSE)</f>
        <v>Endstück mit Entwässerung</v>
      </c>
      <c r="AQ32" s="61" t="s">
        <v>199</v>
      </c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5"/>
      <c r="BF32" s="17"/>
      <c r="BM32" s="207">
        <f>AC32</f>
        <v>7</v>
      </c>
      <c r="BN32" s="76" t="s">
        <v>178</v>
      </c>
      <c r="BO32" s="67" t="s">
        <v>13</v>
      </c>
      <c r="BP32" s="67" t="s">
        <v>23</v>
      </c>
      <c r="BQ32" s="67" t="s">
        <v>193</v>
      </c>
      <c r="BR32" s="67" t="s">
        <v>194</v>
      </c>
      <c r="BS32" s="67"/>
      <c r="BT32" s="67"/>
      <c r="BU32" s="67"/>
      <c r="BV32" s="95" t="s">
        <v>8</v>
      </c>
    </row>
    <row r="33" spans="9:74" x14ac:dyDescent="0.2">
      <c r="I33" s="7" t="s">
        <v>197</v>
      </c>
      <c r="J33" s="7" t="s">
        <v>198</v>
      </c>
      <c r="AB33">
        <f>AB28+$AB$2</f>
        <v>61</v>
      </c>
      <c r="AC33" s="203"/>
      <c r="AD33" s="77">
        <f>'Bestellung Commande'!E39</f>
        <v>0</v>
      </c>
      <c r="AE33" s="9" t="s">
        <v>77</v>
      </c>
      <c r="AF33" s="62" t="s">
        <v>12</v>
      </c>
      <c r="AG33" s="62" t="s">
        <v>15</v>
      </c>
      <c r="AH33" s="63">
        <f>VLOOKUP('Bestellung Commande'!K39,DATEN!$A$3:$D$10,2,FALSE)</f>
        <v>0</v>
      </c>
      <c r="AI33" s="63">
        <f>VLOOKUP('Bestellung Commande'!L39,DATEN!$A$3:$D$10,2,FALSE)</f>
        <v>0</v>
      </c>
      <c r="AJ33" s="63">
        <f>VLOOKUP('Bestellung Commande'!M39,DATEN!$A$3:$D$10,2,FALSE)</f>
        <v>0</v>
      </c>
      <c r="AK33" s="63">
        <f>VLOOKUP('Bestellung Commande'!N39,DATEN!$A$3:$D$10,2,FALSE)</f>
        <v>0</v>
      </c>
      <c r="AL33" s="62" t="s">
        <v>82</v>
      </c>
      <c r="AM33" s="62" t="s">
        <v>83</v>
      </c>
      <c r="AN33" s="62" t="s">
        <v>84</v>
      </c>
      <c r="AO33" s="62" t="s">
        <v>85</v>
      </c>
      <c r="AP33" s="62" t="s">
        <v>86</v>
      </c>
      <c r="AQ33" s="62" t="str">
        <f>IF(ISNA('Pos7'!$F$31),"",'Pos7'!$F$31)</f>
        <v/>
      </c>
      <c r="AR33" s="62" t="str">
        <f>IF(ISNA('Pos7'!$F$31),"",'Pos7'!$F$31)</f>
        <v/>
      </c>
      <c r="AS33" s="81" t="str">
        <f>$T$18</f>
        <v>Rüsten</v>
      </c>
      <c r="AT33" s="62" t="str">
        <f>$T$19</f>
        <v>Sägen</v>
      </c>
      <c r="AU33" s="62" t="str">
        <f>$T$20</f>
        <v>Bohren</v>
      </c>
      <c r="AV33" s="62" t="str">
        <f>$T$21</f>
        <v>Kleben</v>
      </c>
      <c r="AW33" s="62" t="str">
        <f>$T$22</f>
        <v>Montage</v>
      </c>
      <c r="AX33" s="62" t="str">
        <f>$T$23</f>
        <v>Spedi</v>
      </c>
      <c r="AY33" s="62" t="str">
        <f>$T$24</f>
        <v>Steg</v>
      </c>
      <c r="AZ33" s="62" t="str">
        <f>$T$25</f>
        <v>Job 8</v>
      </c>
      <c r="BA33" s="62" t="str">
        <f>$T$26</f>
        <v>Job 9</v>
      </c>
      <c r="BB33" s="62" t="str">
        <f>$T$27</f>
        <v>Job 10</v>
      </c>
      <c r="BC33" s="62" t="str">
        <f>$T$28</f>
        <v>Job 11</v>
      </c>
      <c r="BD33" s="62" t="str">
        <f>$T$29</f>
        <v>Job 12</v>
      </c>
      <c r="BE33" s="66" t="str">
        <f>$T$30</f>
        <v>Job 13</v>
      </c>
      <c r="BF33" s="93"/>
      <c r="BM33" s="208"/>
      <c r="BO33" t="s">
        <v>77</v>
      </c>
      <c r="BQ33" s="9"/>
      <c r="BR33" s="9"/>
      <c r="BS33" s="9"/>
      <c r="BT33" s="9"/>
      <c r="BU33" s="9"/>
      <c r="BV33" s="90"/>
    </row>
    <row r="34" spans="9:74" ht="19.5" customHeight="1" thickBot="1" x14ac:dyDescent="0.3">
      <c r="I34" s="110" t="s">
        <v>204</v>
      </c>
      <c r="J34" s="110" t="s">
        <v>205</v>
      </c>
      <c r="T34" t="s">
        <v>187</v>
      </c>
      <c r="AC34" s="203"/>
      <c r="AD34" s="77"/>
      <c r="AE34" s="70">
        <f>IF(ISERROR(SUM(AF34:BF34)),0,SUM(AF34:BF34))</f>
        <v>0</v>
      </c>
      <c r="AF34" s="71">
        <f>IF(ISERROR(VLOOKUP(AF33,DATEN!$T$3:$AA$30,4,FALSE)),0,VLOOKUP(AF33,DATEN!$T$3:$AA$30,4,FALSE)*(AF35))</f>
        <v>0</v>
      </c>
      <c r="AG34" s="71">
        <f>IF(ISERROR(VLOOKUP(AG33,DATEN!$T$3:$AA$30,4,FALSE)),0,VLOOKUP(AG33,DATEN!$T$3:$AA$30,4,FALSE)*(AG35))</f>
        <v>0</v>
      </c>
      <c r="AH34" s="71">
        <f>IF(ISERROR(VLOOKUP(AH33,DATEN!$T$3:$AA$30,4,FALSE)),0,VLOOKUP(AH33,DATEN!$T$3:$AA$30,4,FALSE)*(AH35))</f>
        <v>0</v>
      </c>
      <c r="AI34" s="71">
        <f>IF(ISERROR(VLOOKUP(AI33,DATEN!$T$3:$AA$30,4,FALSE)),0,VLOOKUP(AI33,DATEN!$T$3:$AA$30,4,FALSE)*(AI35))</f>
        <v>0</v>
      </c>
      <c r="AJ34" s="71">
        <f>IF(ISERROR(VLOOKUP(AJ33,DATEN!$T$3:$AA$30,4,FALSE)),0,VLOOKUP(AJ33,DATEN!$T$3:$AA$30,4,FALSE)*(AJ35))</f>
        <v>0</v>
      </c>
      <c r="AK34" s="71">
        <f>IF(ISERROR(VLOOKUP(AK33,DATEN!$T$3:$AA$30,4,FALSE)),0,VLOOKUP(AK33,DATEN!$T$3:$AA$30,4,FALSE)*(AK35))</f>
        <v>0</v>
      </c>
      <c r="AL34" s="71">
        <f>IF(ISERROR(VLOOKUP(AL33,DATEN!$T$3:$AA$30,4,FALSE)),0,VLOOKUP(AL33,DATEN!$T$3:$AA$30,4,FALSE)*(AL35))</f>
        <v>0</v>
      </c>
      <c r="AM34" s="71">
        <f>IF(ISERROR(VLOOKUP(AM33,DATEN!$T$3:$AC$30,4,FALSE)),0,VLOOKUP(AM33,DATEN!$T$3:$AC$30,4,FALSE)*(AM35))</f>
        <v>0.32640000000000002</v>
      </c>
      <c r="AN34" s="71">
        <f>IF(ISERROR(VLOOKUP(AN33,DATEN!$T$3:$AC$30,4,FALSE)),0,VLOOKUP(AN33,DATEN!$T$3:$AC$30,4,FALSE)*(AN35))</f>
        <v>0</v>
      </c>
      <c r="AO34" s="71">
        <f>IF(ISERROR(VLOOKUP(AO33,DATEN!$T$3:$AC$30,4,FALSE)),0,VLOOKUP(AO33,DATEN!$T$3:$AC$30,4,FALSE)*(AO35))</f>
        <v>4.0104000000000006</v>
      </c>
      <c r="AP34" s="71">
        <f>IF(ISERROR(VLOOKUP(AP33,DATEN!$T$3:$AC$30,4,FALSE)),0,VLOOKUP(AP33,DATEN!$T$3:$AC$30,4,FALSE)*(AP35))</f>
        <v>59.22</v>
      </c>
      <c r="AQ34" s="71">
        <f>IF(ISNA(VLOOKUP(AQ33,$M$7:$R$14,6,FALSE)),0,VLOOKUP(AQ33,$M$7:$R$14,6,FALSE))</f>
        <v>0</v>
      </c>
      <c r="AR34" s="71">
        <f>IF(ISNA(VLOOKUP(AR33,$M$7:$R$14,6,FALSE)),0,VLOOKUP(AR33,$M$7:$R$14,6,FALSE))</f>
        <v>0</v>
      </c>
      <c r="AS34" s="82" t="e">
        <f>(VLOOKUP(AS33,$T$2:$AA$30,3,FALSE)/$AD33)+(VLOOKUP(AS33,$T$2:$AA$30,4,FALSE))</f>
        <v>#DIV/0!</v>
      </c>
      <c r="AT34" s="71" t="e">
        <f t="shared" ref="AT34:BE34" si="50">(VLOOKUP(AT33,$T$2:$AA$30,3,FALSE)/$AD33)+(VLOOKUP(AT33,$T$2:$AA$30,4,FALSE))</f>
        <v>#DIV/0!</v>
      </c>
      <c r="AU34" s="71" t="e">
        <f t="shared" si="50"/>
        <v>#DIV/0!</v>
      </c>
      <c r="AV34" s="71" t="e">
        <f t="shared" si="50"/>
        <v>#DIV/0!</v>
      </c>
      <c r="AW34" s="71" t="e">
        <f t="shared" si="50"/>
        <v>#DIV/0!</v>
      </c>
      <c r="AX34" s="71" t="e">
        <f t="shared" si="50"/>
        <v>#DIV/0!</v>
      </c>
      <c r="AY34" s="71" t="e">
        <f t="shared" si="50"/>
        <v>#DIV/0!</v>
      </c>
      <c r="AZ34" s="71" t="e">
        <f t="shared" si="50"/>
        <v>#DIV/0!</v>
      </c>
      <c r="BA34" s="71" t="e">
        <f t="shared" si="50"/>
        <v>#DIV/0!</v>
      </c>
      <c r="BB34" s="71" t="e">
        <f t="shared" si="50"/>
        <v>#DIV/0!</v>
      </c>
      <c r="BC34" s="71" t="e">
        <f t="shared" si="50"/>
        <v>#DIV/0!</v>
      </c>
      <c r="BD34" s="71" t="e">
        <f t="shared" si="50"/>
        <v>#DIV/0!</v>
      </c>
      <c r="BE34" s="72" t="e">
        <f t="shared" si="50"/>
        <v>#DIV/0!</v>
      </c>
      <c r="BF34" s="94">
        <f>BV34</f>
        <v>0</v>
      </c>
      <c r="BM34" s="208"/>
      <c r="BN34" s="106">
        <f>AD33</f>
        <v>0</v>
      </c>
      <c r="BO34" s="70">
        <f>AF35</f>
        <v>0</v>
      </c>
      <c r="BP34" s="70">
        <f>COUNT('Bestellung Commande'!K39:N39)</f>
        <v>0</v>
      </c>
      <c r="BQ34" s="9">
        <f>BO34*BP34*$V$44*BN34</f>
        <v>0</v>
      </c>
      <c r="BR34" s="9">
        <f>BP34*$W$44*BN34</f>
        <v>0</v>
      </c>
      <c r="BS34" s="9"/>
      <c r="BT34" s="9"/>
      <c r="BU34" s="9"/>
      <c r="BV34" s="90">
        <f>SUM(BQ34:BU34)</f>
        <v>0</v>
      </c>
    </row>
    <row r="35" spans="9:74" ht="15" thickBot="1" x14ac:dyDescent="0.25">
      <c r="I35" s="7"/>
      <c r="J35" s="7"/>
      <c r="T35" s="86" t="s">
        <v>169</v>
      </c>
      <c r="U35" s="87" t="s">
        <v>170</v>
      </c>
      <c r="V35" s="88" t="s">
        <v>188</v>
      </c>
      <c r="W35" s="88" t="s">
        <v>189</v>
      </c>
      <c r="X35" s="89"/>
      <c r="AC35" s="204"/>
      <c r="AD35" s="78"/>
      <c r="AE35" s="68" t="s">
        <v>107</v>
      </c>
      <c r="AF35" s="69">
        <f>'Bestellung Commande'!$F39/1000</f>
        <v>0</v>
      </c>
      <c r="AG35" s="69">
        <f>'Bestellung Commande'!$F39/1000</f>
        <v>0</v>
      </c>
      <c r="AH35" s="69">
        <f>'Bestellung Commande'!$F39/1000</f>
        <v>0</v>
      </c>
      <c r="AI35" s="69">
        <f>'Bestellung Commande'!$F45/1000</f>
        <v>0</v>
      </c>
      <c r="AJ35" s="69">
        <f>'Bestellung Commande'!$F45/1000</f>
        <v>0</v>
      </c>
      <c r="AK35" s="69">
        <f>'Bestellung Commande'!$F45/1000</f>
        <v>0</v>
      </c>
      <c r="AL35" s="69">
        <f>'Bestellung Commande'!$F39/1000</f>
        <v>0</v>
      </c>
      <c r="AM35" s="64">
        <v>2</v>
      </c>
      <c r="AN35" s="64">
        <v>0</v>
      </c>
      <c r="AO35" s="64">
        <v>2</v>
      </c>
      <c r="AP35" s="64">
        <v>2</v>
      </c>
      <c r="AQ35" s="80">
        <f>'Pos7'!$F$33</f>
        <v>0</v>
      </c>
      <c r="AR35" s="80">
        <f>'Pos7'!$G$33</f>
        <v>0</v>
      </c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83"/>
      <c r="BF35" s="93"/>
      <c r="BM35" s="209"/>
      <c r="BN35" s="78"/>
      <c r="BO35" s="68" t="s">
        <v>107</v>
      </c>
      <c r="BP35" s="68"/>
      <c r="BQ35" s="68"/>
      <c r="BR35" s="68"/>
      <c r="BS35" s="68"/>
      <c r="BT35" s="68"/>
      <c r="BU35" s="68"/>
      <c r="BV35" s="91"/>
    </row>
    <row r="36" spans="9:74" ht="15" thickBot="1" x14ac:dyDescent="0.25">
      <c r="T36" s="54" t="s">
        <v>89</v>
      </c>
      <c r="U36" t="s">
        <v>190</v>
      </c>
      <c r="V36" s="98">
        <v>3</v>
      </c>
      <c r="W36" s="96"/>
      <c r="X36" s="90"/>
    </row>
    <row r="37" spans="9:74" x14ac:dyDescent="0.2">
      <c r="T37" s="54" t="s">
        <v>88</v>
      </c>
      <c r="U37" t="s">
        <v>88</v>
      </c>
      <c r="V37" s="98"/>
      <c r="W37" s="96">
        <v>7</v>
      </c>
      <c r="X37" s="90"/>
      <c r="AC37" s="202">
        <f>'Bestellung Commande'!A41</f>
        <v>8</v>
      </c>
      <c r="AD37" s="76" t="s">
        <v>178</v>
      </c>
      <c r="AE37" s="67"/>
      <c r="AF37" s="61" t="str">
        <f>VLOOKUP(AF38,DATEN!$T$2:$AA$30,2,FALSE)</f>
        <v>Aluprofil</v>
      </c>
      <c r="AG37" s="61" t="str">
        <f>VLOOKUP(AG38,DATEN!$T$2:$AA$30,2,FALSE)</f>
        <v>KS-Trittschwelle</v>
      </c>
      <c r="AH37" s="61" t="s">
        <v>69</v>
      </c>
      <c r="AI37" s="61" t="s">
        <v>70</v>
      </c>
      <c r="AJ37" s="61" t="s">
        <v>71</v>
      </c>
      <c r="AK37" s="61" t="s">
        <v>72</v>
      </c>
      <c r="AL37" s="61" t="str">
        <f>VLOOKUP(AL38,DATEN!$T$2:$AA$30,2,FALSE)</f>
        <v>Anschlussdichtung</v>
      </c>
      <c r="AM37" s="61" t="str">
        <f>VLOOKUP(AM38,DATEN!$T$2:$AA$30,2,FALSE)</f>
        <v>Linsenschaube 4.8x28</v>
      </c>
      <c r="AN37" s="61" t="str">
        <f>VLOOKUP(AN38,DATEN!$T$2:$AA$30,2,FALSE)</f>
        <v>KS-Kupplungselemnt</v>
      </c>
      <c r="AO37" s="61" t="str">
        <f>VLOOKUP(AO38,DATEN!$T$2:$AA$30,2,FALSE)</f>
        <v>Dichtstück</v>
      </c>
      <c r="AP37" s="61" t="str">
        <f>VLOOKUP(AP38,DATEN!$T$2:$AA$30,2,FALSE)</f>
        <v>Endstück mit Entwässerung</v>
      </c>
      <c r="AQ37" s="61" t="s">
        <v>199</v>
      </c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5"/>
      <c r="BF37" s="17"/>
      <c r="BM37" s="207">
        <f>AC37</f>
        <v>8</v>
      </c>
      <c r="BN37" s="76" t="s">
        <v>178</v>
      </c>
      <c r="BO37" s="67" t="s">
        <v>13</v>
      </c>
      <c r="BP37" s="67" t="s">
        <v>23</v>
      </c>
      <c r="BQ37" s="67" t="s">
        <v>193</v>
      </c>
      <c r="BR37" s="67" t="s">
        <v>194</v>
      </c>
      <c r="BS37" s="67"/>
      <c r="BT37" s="67"/>
      <c r="BU37" s="67"/>
      <c r="BV37" s="95" t="s">
        <v>8</v>
      </c>
    </row>
    <row r="38" spans="9:74" x14ac:dyDescent="0.2">
      <c r="T38" s="54" t="s">
        <v>191</v>
      </c>
      <c r="U38" t="s">
        <v>192</v>
      </c>
      <c r="V38" s="98"/>
      <c r="W38" s="96"/>
      <c r="X38" s="90"/>
      <c r="AB38">
        <f>AB33+$AB$2</f>
        <v>66</v>
      </c>
      <c r="AC38" s="203"/>
      <c r="AD38" s="77">
        <f>'Bestellung Commande'!E41</f>
        <v>0</v>
      </c>
      <c r="AE38" s="9" t="s">
        <v>77</v>
      </c>
      <c r="AF38" s="62" t="s">
        <v>12</v>
      </c>
      <c r="AG38" s="62" t="s">
        <v>15</v>
      </c>
      <c r="AH38" s="63">
        <f>VLOOKUP('Bestellung Commande'!K41,DATEN!$A$3:$D$10,2,FALSE)</f>
        <v>0</v>
      </c>
      <c r="AI38" s="63">
        <f>VLOOKUP('Bestellung Commande'!L41,DATEN!$A$3:$D$10,2,FALSE)</f>
        <v>0</v>
      </c>
      <c r="AJ38" s="63">
        <f>VLOOKUP('Bestellung Commande'!M41,DATEN!$A$3:$D$10,2,FALSE)</f>
        <v>0</v>
      </c>
      <c r="AK38" s="63">
        <f>VLOOKUP('Bestellung Commande'!N41,DATEN!$A$3:$D$10,2,FALSE)</f>
        <v>0</v>
      </c>
      <c r="AL38" s="62" t="s">
        <v>82</v>
      </c>
      <c r="AM38" s="62" t="s">
        <v>83</v>
      </c>
      <c r="AN38" s="62" t="s">
        <v>84</v>
      </c>
      <c r="AO38" s="62" t="s">
        <v>85</v>
      </c>
      <c r="AP38" s="62" t="s">
        <v>86</v>
      </c>
      <c r="AQ38" s="62" t="str">
        <f>IF(ISNA('Pos8'!$F$31),"",'Pos8'!$F$31)</f>
        <v/>
      </c>
      <c r="AR38" s="62" t="str">
        <f>IF(ISNA('Pos8'!$F$31),"",'Pos8'!$F$31)</f>
        <v/>
      </c>
      <c r="AS38" s="81" t="str">
        <f>$T$18</f>
        <v>Rüsten</v>
      </c>
      <c r="AT38" s="62" t="str">
        <f>$T$19</f>
        <v>Sägen</v>
      </c>
      <c r="AU38" s="62" t="str">
        <f>$T$20</f>
        <v>Bohren</v>
      </c>
      <c r="AV38" s="62" t="str">
        <f>$T$21</f>
        <v>Kleben</v>
      </c>
      <c r="AW38" s="62" t="str">
        <f>$T$22</f>
        <v>Montage</v>
      </c>
      <c r="AX38" s="62" t="str">
        <f>$T$23</f>
        <v>Spedi</v>
      </c>
      <c r="AY38" s="62" t="str">
        <f>$T$24</f>
        <v>Steg</v>
      </c>
      <c r="AZ38" s="62" t="str">
        <f>$T$25</f>
        <v>Job 8</v>
      </c>
      <c r="BA38" s="62" t="str">
        <f>$T$26</f>
        <v>Job 9</v>
      </c>
      <c r="BB38" s="62" t="str">
        <f>$T$27</f>
        <v>Job 10</v>
      </c>
      <c r="BC38" s="62" t="str">
        <f>$T$28</f>
        <v>Job 11</v>
      </c>
      <c r="BD38" s="62" t="str">
        <f>$T$29</f>
        <v>Job 12</v>
      </c>
      <c r="BE38" s="66" t="str">
        <f>$T$30</f>
        <v>Job 13</v>
      </c>
      <c r="BF38" s="93"/>
      <c r="BM38" s="208"/>
      <c r="BO38" t="s">
        <v>77</v>
      </c>
      <c r="BQ38" s="9"/>
      <c r="BR38" s="9"/>
      <c r="BS38" s="9"/>
      <c r="BT38" s="9"/>
      <c r="BU38" s="9"/>
      <c r="BV38" s="90"/>
    </row>
    <row r="39" spans="9:74" ht="15" customHeight="1" x14ac:dyDescent="0.25">
      <c r="T39" s="54"/>
      <c r="V39" s="98"/>
      <c r="W39" s="96"/>
      <c r="X39" s="90"/>
      <c r="AC39" s="203"/>
      <c r="AD39" s="77"/>
      <c r="AE39" s="70">
        <f>IF(ISERROR(SUM(AF39:BF39)),0,SUM(AF39:BF39))</f>
        <v>0</v>
      </c>
      <c r="AF39" s="71">
        <f>IF(ISERROR(VLOOKUP(AF38,DATEN!$T$3:$AA$30,4,FALSE)),0,VLOOKUP(AF38,DATEN!$T$3:$AA$30,4,FALSE)*(AF40))</f>
        <v>0</v>
      </c>
      <c r="AG39" s="71">
        <f>IF(ISERROR(VLOOKUP(AG38,DATEN!$T$3:$AA$30,4,FALSE)),0,VLOOKUP(AG38,DATEN!$T$3:$AA$30,4,FALSE)*(AG40))</f>
        <v>0</v>
      </c>
      <c r="AH39" s="71">
        <f>IF(ISERROR(VLOOKUP(AH38,DATEN!$T$3:$AA$30,4,FALSE)),0,VLOOKUP(AH38,DATEN!$T$3:$AA$30,4,FALSE)*(AH40))</f>
        <v>0</v>
      </c>
      <c r="AI39" s="71">
        <f>IF(ISERROR(VLOOKUP(AI38,DATEN!$T$3:$AA$30,4,FALSE)),0,VLOOKUP(AI38,DATEN!$T$3:$AA$30,4,FALSE)*(AI40))</f>
        <v>0</v>
      </c>
      <c r="AJ39" s="71">
        <f>IF(ISERROR(VLOOKUP(AJ38,DATEN!$T$3:$AA$30,4,FALSE)),0,VLOOKUP(AJ38,DATEN!$T$3:$AA$30,4,FALSE)*(AJ40))</f>
        <v>0</v>
      </c>
      <c r="AK39" s="71">
        <f>IF(ISERROR(VLOOKUP(AK38,DATEN!$T$3:$AA$30,4,FALSE)),0,VLOOKUP(AK38,DATEN!$T$3:$AA$30,4,FALSE)*(AK40))</f>
        <v>0</v>
      </c>
      <c r="AL39" s="71">
        <f>IF(ISERROR(VLOOKUP(AL38,DATEN!$T$3:$AA$30,4,FALSE)),0,VLOOKUP(AL38,DATEN!$T$3:$AA$30,4,FALSE)*(AL40))</f>
        <v>0</v>
      </c>
      <c r="AM39" s="71">
        <f>IF(ISERROR(VLOOKUP(AM38,DATEN!$T$3:$AC$30,4,FALSE)),0,VLOOKUP(AM38,DATEN!$T$3:$AC$30,4,FALSE)*(AM40))</f>
        <v>0.32640000000000002</v>
      </c>
      <c r="AN39" s="71">
        <f>IF(ISERROR(VLOOKUP(AN38,DATEN!$T$3:$AC$30,4,FALSE)),0,VLOOKUP(AN38,DATEN!$T$3:$AC$30,4,FALSE)*(AN40))</f>
        <v>0</v>
      </c>
      <c r="AO39" s="71">
        <f>IF(ISERROR(VLOOKUP(AO38,DATEN!$T$3:$AC$30,4,FALSE)),0,VLOOKUP(AO38,DATEN!$T$3:$AC$30,4,FALSE)*(AO40))</f>
        <v>4.0104000000000006</v>
      </c>
      <c r="AP39" s="71">
        <f>IF(ISERROR(VLOOKUP(AP38,DATEN!$T$3:$AC$30,4,FALSE)),0,VLOOKUP(AP38,DATEN!$T$3:$AC$30,4,FALSE)*(AP40))</f>
        <v>59.22</v>
      </c>
      <c r="AQ39" s="71">
        <f>IF(ISNA(VLOOKUP(AQ38,$M$7:$R$14,6,FALSE)),0,VLOOKUP(AQ38,$M$7:$R$14,6,FALSE))</f>
        <v>0</v>
      </c>
      <c r="AR39" s="71">
        <f>IF(ISNA(VLOOKUP(AR38,$M$7:$R$14,6,FALSE)),0,VLOOKUP(AR38,$M$7:$R$14,6,FALSE))</f>
        <v>0</v>
      </c>
      <c r="AS39" s="82" t="e">
        <f>(VLOOKUP(AS38,$T$2:$AA$30,3,FALSE)/$AD38)+(VLOOKUP(AS38,$T$2:$AA$30,4,FALSE))</f>
        <v>#DIV/0!</v>
      </c>
      <c r="AT39" s="71" t="e">
        <f t="shared" ref="AT39:BE39" si="51">(VLOOKUP(AT38,$T$2:$AA$30,3,FALSE)/$AD38)+(VLOOKUP(AT38,$T$2:$AA$30,4,FALSE))</f>
        <v>#DIV/0!</v>
      </c>
      <c r="AU39" s="71" t="e">
        <f t="shared" si="51"/>
        <v>#DIV/0!</v>
      </c>
      <c r="AV39" s="71" t="e">
        <f t="shared" si="51"/>
        <v>#DIV/0!</v>
      </c>
      <c r="AW39" s="71" t="e">
        <f t="shared" si="51"/>
        <v>#DIV/0!</v>
      </c>
      <c r="AX39" s="71" t="e">
        <f t="shared" si="51"/>
        <v>#DIV/0!</v>
      </c>
      <c r="AY39" s="71" t="e">
        <f t="shared" si="51"/>
        <v>#DIV/0!</v>
      </c>
      <c r="AZ39" s="71" t="e">
        <f t="shared" si="51"/>
        <v>#DIV/0!</v>
      </c>
      <c r="BA39" s="71" t="e">
        <f t="shared" si="51"/>
        <v>#DIV/0!</v>
      </c>
      <c r="BB39" s="71" t="e">
        <f t="shared" si="51"/>
        <v>#DIV/0!</v>
      </c>
      <c r="BC39" s="71" t="e">
        <f t="shared" si="51"/>
        <v>#DIV/0!</v>
      </c>
      <c r="BD39" s="71" t="e">
        <f t="shared" si="51"/>
        <v>#DIV/0!</v>
      </c>
      <c r="BE39" s="72" t="e">
        <f t="shared" si="51"/>
        <v>#DIV/0!</v>
      </c>
      <c r="BF39" s="94">
        <f>BV39</f>
        <v>0</v>
      </c>
      <c r="BM39" s="208"/>
      <c r="BN39" s="106">
        <f>AD38</f>
        <v>0</v>
      </c>
      <c r="BO39" s="70">
        <f>AF40</f>
        <v>0</v>
      </c>
      <c r="BP39" s="70">
        <f>COUNT('Bestellung Commande'!K41:N41)</f>
        <v>0</v>
      </c>
      <c r="BQ39" s="9">
        <f>BO39*BP39*$V$44*BN39</f>
        <v>0</v>
      </c>
      <c r="BR39" s="9">
        <f>BP39*$W$44*BN39</f>
        <v>0</v>
      </c>
      <c r="BS39" s="9"/>
      <c r="BT39" s="9"/>
      <c r="BU39" s="9"/>
      <c r="BV39" s="90">
        <f>SUM(BQ39:BU39)</f>
        <v>0</v>
      </c>
    </row>
    <row r="40" spans="9:74" ht="15" thickBot="1" x14ac:dyDescent="0.25">
      <c r="T40" s="54"/>
      <c r="V40" s="98"/>
      <c r="W40" s="96"/>
      <c r="X40" s="90"/>
      <c r="AC40" s="204"/>
      <c r="AD40" s="78"/>
      <c r="AE40" s="68" t="s">
        <v>107</v>
      </c>
      <c r="AF40" s="69">
        <f>'Bestellung Commande'!$F41/1000</f>
        <v>0</v>
      </c>
      <c r="AG40" s="69">
        <f>'Bestellung Commande'!$F41/1000</f>
        <v>0</v>
      </c>
      <c r="AH40" s="69">
        <f>'Bestellung Commande'!$F41/1000</f>
        <v>0</v>
      </c>
      <c r="AI40" s="69">
        <f>'Bestellung Commande'!$F50/1000</f>
        <v>0</v>
      </c>
      <c r="AJ40" s="69">
        <f>'Bestellung Commande'!$F50/1000</f>
        <v>0</v>
      </c>
      <c r="AK40" s="69">
        <f>'Bestellung Commande'!$F50/1000</f>
        <v>0</v>
      </c>
      <c r="AL40" s="69">
        <f>'Bestellung Commande'!$F41/1000</f>
        <v>0</v>
      </c>
      <c r="AM40" s="64">
        <v>2</v>
      </c>
      <c r="AN40" s="64">
        <v>0</v>
      </c>
      <c r="AO40" s="64">
        <v>2</v>
      </c>
      <c r="AP40" s="64">
        <v>2</v>
      </c>
      <c r="AQ40" s="80">
        <f>'Pos8'!$F$33</f>
        <v>0</v>
      </c>
      <c r="AR40" s="80">
        <f>'Pos8'!$G$33</f>
        <v>0</v>
      </c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83"/>
      <c r="BF40" s="93"/>
      <c r="BM40" s="209"/>
      <c r="BN40" s="78"/>
      <c r="BO40" s="68" t="s">
        <v>107</v>
      </c>
      <c r="BP40" s="68"/>
      <c r="BQ40" s="68"/>
      <c r="BR40" s="68"/>
      <c r="BS40" s="68"/>
      <c r="BT40" s="68"/>
      <c r="BU40" s="68"/>
      <c r="BV40" s="91"/>
    </row>
    <row r="41" spans="9:74" ht="15" thickBot="1" x14ac:dyDescent="0.25">
      <c r="T41" s="54"/>
      <c r="V41" s="98"/>
      <c r="W41" s="96"/>
      <c r="X41" s="90"/>
    </row>
    <row r="42" spans="9:74" x14ac:dyDescent="0.2">
      <c r="T42" s="54"/>
      <c r="V42" s="98"/>
      <c r="W42" s="96"/>
      <c r="X42" s="90"/>
      <c r="AC42" s="202">
        <f>'Bestellung Commande'!A43</f>
        <v>9</v>
      </c>
      <c r="AD42" s="76" t="s">
        <v>178</v>
      </c>
      <c r="AE42" s="67"/>
      <c r="AF42" s="61" t="str">
        <f>VLOOKUP(AF43,DATEN!$T$2:$AA$30,2,FALSE)</f>
        <v>Aluprofil</v>
      </c>
      <c r="AG42" s="61" t="str">
        <f>VLOOKUP(AG43,DATEN!$T$2:$AA$30,2,FALSE)</f>
        <v>KS-Trittschwelle</v>
      </c>
      <c r="AH42" s="61" t="s">
        <v>69</v>
      </c>
      <c r="AI42" s="61" t="s">
        <v>70</v>
      </c>
      <c r="AJ42" s="61" t="s">
        <v>71</v>
      </c>
      <c r="AK42" s="61" t="s">
        <v>72</v>
      </c>
      <c r="AL42" s="61" t="str">
        <f>VLOOKUP(AL43,DATEN!$T$2:$AA$30,2,FALSE)</f>
        <v>Anschlussdichtung</v>
      </c>
      <c r="AM42" s="61" t="str">
        <f>VLOOKUP(AM43,DATEN!$T$2:$AA$30,2,FALSE)</f>
        <v>Linsenschaube 4.8x28</v>
      </c>
      <c r="AN42" s="61" t="str">
        <f>VLOOKUP(AN43,DATEN!$T$2:$AA$30,2,FALSE)</f>
        <v>KS-Kupplungselemnt</v>
      </c>
      <c r="AO42" s="61" t="str">
        <f>VLOOKUP(AO43,DATEN!$T$2:$AA$30,2,FALSE)</f>
        <v>Dichtstück</v>
      </c>
      <c r="AP42" s="61" t="str">
        <f>VLOOKUP(AP43,DATEN!$T$2:$AA$30,2,FALSE)</f>
        <v>Endstück mit Entwässerung</v>
      </c>
      <c r="AQ42" s="61" t="s">
        <v>199</v>
      </c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5"/>
      <c r="BF42" s="17"/>
      <c r="BM42" s="207">
        <f>AC42</f>
        <v>9</v>
      </c>
      <c r="BN42" s="76" t="s">
        <v>178</v>
      </c>
      <c r="BO42" s="67" t="s">
        <v>13</v>
      </c>
      <c r="BP42" s="67" t="s">
        <v>23</v>
      </c>
      <c r="BQ42" s="67" t="s">
        <v>193</v>
      </c>
      <c r="BR42" s="67" t="s">
        <v>194</v>
      </c>
      <c r="BS42" s="67"/>
      <c r="BT42" s="67"/>
      <c r="BU42" s="67"/>
      <c r="BV42" s="95" t="s">
        <v>8</v>
      </c>
    </row>
    <row r="43" spans="9:74" ht="15" thickBot="1" x14ac:dyDescent="0.25">
      <c r="T43" s="56"/>
      <c r="U43" s="57"/>
      <c r="V43" s="99"/>
      <c r="W43" s="97"/>
      <c r="X43" s="91"/>
      <c r="AB43">
        <f>AB38+$AB$2</f>
        <v>71</v>
      </c>
      <c r="AC43" s="203"/>
      <c r="AD43" s="77">
        <f>'Bestellung Commande'!E43</f>
        <v>0</v>
      </c>
      <c r="AE43" s="9" t="s">
        <v>77</v>
      </c>
      <c r="AF43" s="62" t="s">
        <v>12</v>
      </c>
      <c r="AG43" s="62" t="s">
        <v>15</v>
      </c>
      <c r="AH43" s="63">
        <f>VLOOKUP('Bestellung Commande'!K43,DATEN!$A$3:$D$10,2,FALSE)</f>
        <v>0</v>
      </c>
      <c r="AI43" s="63">
        <f>VLOOKUP('Bestellung Commande'!L43,DATEN!$A$3:$D$10,2,FALSE)</f>
        <v>0</v>
      </c>
      <c r="AJ43" s="63">
        <f>VLOOKUP('Bestellung Commande'!M43,DATEN!$A$3:$D$10,2,FALSE)</f>
        <v>0</v>
      </c>
      <c r="AK43" s="63">
        <f>VLOOKUP('Bestellung Commande'!N43,DATEN!$A$3:$D$10,2,FALSE)</f>
        <v>0</v>
      </c>
      <c r="AL43" s="62" t="s">
        <v>82</v>
      </c>
      <c r="AM43" s="62" t="s">
        <v>83</v>
      </c>
      <c r="AN43" s="62" t="s">
        <v>84</v>
      </c>
      <c r="AO43" s="62" t="s">
        <v>85</v>
      </c>
      <c r="AP43" s="62" t="s">
        <v>86</v>
      </c>
      <c r="AQ43" s="62" t="str">
        <f>IF(ISNA('Pos9'!$F$31),"",'Pos9'!$F$31)</f>
        <v/>
      </c>
      <c r="AR43" s="62" t="str">
        <f>IF(ISNA('Pos9'!$F$31),"",'Pos9'!$F$31)</f>
        <v/>
      </c>
      <c r="AS43" s="81" t="str">
        <f>$T$18</f>
        <v>Rüsten</v>
      </c>
      <c r="AT43" s="62" t="str">
        <f>$T$19</f>
        <v>Sägen</v>
      </c>
      <c r="AU43" s="62" t="str">
        <f>$T$20</f>
        <v>Bohren</v>
      </c>
      <c r="AV43" s="62" t="str">
        <f>$T$21</f>
        <v>Kleben</v>
      </c>
      <c r="AW43" s="62" t="str">
        <f>$T$22</f>
        <v>Montage</v>
      </c>
      <c r="AX43" s="62" t="str">
        <f>$T$23</f>
        <v>Spedi</v>
      </c>
      <c r="AY43" s="62" t="str">
        <f>$T$24</f>
        <v>Steg</v>
      </c>
      <c r="AZ43" s="62" t="str">
        <f>$T$25</f>
        <v>Job 8</v>
      </c>
      <c r="BA43" s="62" t="str">
        <f>$T$26</f>
        <v>Job 9</v>
      </c>
      <c r="BB43" s="62" t="str">
        <f>$T$27</f>
        <v>Job 10</v>
      </c>
      <c r="BC43" s="62" t="str">
        <f>$T$28</f>
        <v>Job 11</v>
      </c>
      <c r="BD43" s="62" t="str">
        <f>$T$29</f>
        <v>Job 12</v>
      </c>
      <c r="BE43" s="66" t="str">
        <f>$T$30</f>
        <v>Job 13</v>
      </c>
      <c r="BF43" s="93"/>
      <c r="BM43" s="208"/>
      <c r="BO43" t="s">
        <v>77</v>
      </c>
      <c r="BQ43" s="9"/>
      <c r="BR43" s="9"/>
      <c r="BS43" s="9"/>
      <c r="BT43" s="9"/>
      <c r="BU43" s="9"/>
      <c r="BV43" s="90"/>
    </row>
    <row r="44" spans="9:74" ht="15" x14ac:dyDescent="0.25">
      <c r="T44" s="100" t="s">
        <v>8</v>
      </c>
      <c r="U44" s="100"/>
      <c r="V44" s="101">
        <f>SUM(V36:V43)</f>
        <v>3</v>
      </c>
      <c r="W44" s="102">
        <f t="shared" ref="W44" si="52">SUM(W36:W43)</f>
        <v>7</v>
      </c>
      <c r="X44" s="100"/>
      <c r="AC44" s="203"/>
      <c r="AD44" s="77"/>
      <c r="AE44" s="70">
        <f>IF(ISERROR(SUM(AF44:BF44)),0,SUM(AF44:BF44))</f>
        <v>0</v>
      </c>
      <c r="AF44" s="71">
        <f>IF(ISERROR(VLOOKUP(AF43,DATEN!$T$3:$AA$30,4,FALSE)),0,VLOOKUP(AF43,DATEN!$T$3:$AA$30,4,FALSE)*(AF45))</f>
        <v>0</v>
      </c>
      <c r="AG44" s="71">
        <f>IF(ISERROR(VLOOKUP(AG43,DATEN!$T$3:$AA$30,4,FALSE)),0,VLOOKUP(AG43,DATEN!$T$3:$AA$30,4,FALSE)*(AG45))</f>
        <v>0</v>
      </c>
      <c r="AH44" s="71">
        <f>IF(ISERROR(VLOOKUP(AH43,DATEN!$T$3:$AA$30,4,FALSE)),0,VLOOKUP(AH43,DATEN!$T$3:$AA$30,4,FALSE)*(AH45))</f>
        <v>0</v>
      </c>
      <c r="AI44" s="71">
        <f>IF(ISERROR(VLOOKUP(AI43,DATEN!$T$3:$AA$30,4,FALSE)),0,VLOOKUP(AI43,DATEN!$T$3:$AA$30,4,FALSE)*(AI45))</f>
        <v>0</v>
      </c>
      <c r="AJ44" s="71">
        <f>IF(ISERROR(VLOOKUP(AJ43,DATEN!$T$3:$AA$30,4,FALSE)),0,VLOOKUP(AJ43,DATEN!$T$3:$AA$30,4,FALSE)*(AJ45))</f>
        <v>0</v>
      </c>
      <c r="AK44" s="71">
        <f>IF(ISERROR(VLOOKUP(AK43,DATEN!$T$3:$AA$30,4,FALSE)),0,VLOOKUP(AK43,DATEN!$T$3:$AA$30,4,FALSE)*(AK45))</f>
        <v>0</v>
      </c>
      <c r="AL44" s="71">
        <f>IF(ISERROR(VLOOKUP(AL43,DATEN!$T$3:$AA$30,4,FALSE)),0,VLOOKUP(AL43,DATEN!$T$3:$AA$30,4,FALSE)*(AL45))</f>
        <v>0</v>
      </c>
      <c r="AM44" s="71">
        <f>IF(ISERROR(VLOOKUP(AM43,DATEN!$T$3:$AC$30,4,FALSE)),0,VLOOKUP(AM43,DATEN!$T$3:$AC$30,4,FALSE)*(AM45))</f>
        <v>0.32640000000000002</v>
      </c>
      <c r="AN44" s="71">
        <f>IF(ISERROR(VLOOKUP(AN43,DATEN!$T$3:$AC$30,4,FALSE)),0,VLOOKUP(AN43,DATEN!$T$3:$AC$30,4,FALSE)*(AN45))</f>
        <v>0</v>
      </c>
      <c r="AO44" s="71">
        <f>IF(ISERROR(VLOOKUP(AO43,DATEN!$T$3:$AC$30,4,FALSE)),0,VLOOKUP(AO43,DATEN!$T$3:$AC$30,4,FALSE)*(AO45))</f>
        <v>4.0104000000000006</v>
      </c>
      <c r="AP44" s="71">
        <f>IF(ISERROR(VLOOKUP(AP43,DATEN!$T$3:$AC$30,4,FALSE)),0,VLOOKUP(AP43,DATEN!$T$3:$AC$30,4,FALSE)*(AP45))</f>
        <v>59.22</v>
      </c>
      <c r="AQ44" s="71">
        <f>IF(ISNA(VLOOKUP(AQ43,$M$7:$R$14,6,FALSE)),0,VLOOKUP(AQ43,$M$7:$R$14,6,FALSE))</f>
        <v>0</v>
      </c>
      <c r="AR44" s="71">
        <f>IF(ISNA(VLOOKUP(AR43,$M$7:$R$14,6,FALSE)),0,VLOOKUP(AR43,$M$7:$R$14,6,FALSE))</f>
        <v>0</v>
      </c>
      <c r="AS44" s="82" t="e">
        <f>(VLOOKUP(AS43,$T$2:$AA$30,3,FALSE)/$AD43)+(VLOOKUP(AS43,$T$2:$AA$30,4,FALSE))</f>
        <v>#DIV/0!</v>
      </c>
      <c r="AT44" s="71" t="e">
        <f t="shared" ref="AT44:BE44" si="53">(VLOOKUP(AT43,$T$2:$AA$30,3,FALSE)/$AD43)+(VLOOKUP(AT43,$T$2:$AA$30,4,FALSE))</f>
        <v>#DIV/0!</v>
      </c>
      <c r="AU44" s="71" t="e">
        <f t="shared" si="53"/>
        <v>#DIV/0!</v>
      </c>
      <c r="AV44" s="71" t="e">
        <f t="shared" si="53"/>
        <v>#DIV/0!</v>
      </c>
      <c r="AW44" s="71" t="e">
        <f t="shared" si="53"/>
        <v>#DIV/0!</v>
      </c>
      <c r="AX44" s="71" t="e">
        <f t="shared" si="53"/>
        <v>#DIV/0!</v>
      </c>
      <c r="AY44" s="71" t="e">
        <f t="shared" si="53"/>
        <v>#DIV/0!</v>
      </c>
      <c r="AZ44" s="71" t="e">
        <f t="shared" si="53"/>
        <v>#DIV/0!</v>
      </c>
      <c r="BA44" s="71" t="e">
        <f t="shared" si="53"/>
        <v>#DIV/0!</v>
      </c>
      <c r="BB44" s="71" t="e">
        <f t="shared" si="53"/>
        <v>#DIV/0!</v>
      </c>
      <c r="BC44" s="71" t="e">
        <f t="shared" si="53"/>
        <v>#DIV/0!</v>
      </c>
      <c r="BD44" s="71" t="e">
        <f t="shared" si="53"/>
        <v>#DIV/0!</v>
      </c>
      <c r="BE44" s="72" t="e">
        <f t="shared" si="53"/>
        <v>#DIV/0!</v>
      </c>
      <c r="BF44" s="94">
        <f>BV44</f>
        <v>0</v>
      </c>
      <c r="BM44" s="208"/>
      <c r="BN44" s="106">
        <f>AD43</f>
        <v>0</v>
      </c>
      <c r="BO44" s="70">
        <f>AF45</f>
        <v>0</v>
      </c>
      <c r="BP44" s="70">
        <f>COUNT('Bestellung Commande'!K43:N43)</f>
        <v>0</v>
      </c>
      <c r="BQ44" s="9">
        <f>BO44*BP44*$V$44*BN44</f>
        <v>0</v>
      </c>
      <c r="BR44" s="9">
        <f>BP44*$W$44*BN44</f>
        <v>0</v>
      </c>
      <c r="BS44" s="9"/>
      <c r="BT44" s="9"/>
      <c r="BU44" s="9"/>
      <c r="BV44" s="90">
        <f>SUM(BQ44:BU44)</f>
        <v>0</v>
      </c>
    </row>
    <row r="45" spans="9:74" ht="15" thickBot="1" x14ac:dyDescent="0.25">
      <c r="AC45" s="204"/>
      <c r="AD45" s="78"/>
      <c r="AE45" s="68" t="s">
        <v>107</v>
      </c>
      <c r="AF45" s="69">
        <f>'Bestellung Commande'!$F43/1000</f>
        <v>0</v>
      </c>
      <c r="AG45" s="69">
        <f>'Bestellung Commande'!$F43/1000</f>
        <v>0</v>
      </c>
      <c r="AH45" s="69">
        <f>'Bestellung Commande'!$F43/1000</f>
        <v>0</v>
      </c>
      <c r="AI45" s="69">
        <f>'Bestellung Commande'!$F55/1000</f>
        <v>0</v>
      </c>
      <c r="AJ45" s="69">
        <f>'Bestellung Commande'!$F55/1000</f>
        <v>0</v>
      </c>
      <c r="AK45" s="69">
        <f>'Bestellung Commande'!$F55/1000</f>
        <v>0</v>
      </c>
      <c r="AL45" s="69">
        <f>'Bestellung Commande'!$F43/1000</f>
        <v>0</v>
      </c>
      <c r="AM45" s="64">
        <v>2</v>
      </c>
      <c r="AN45" s="64">
        <v>0</v>
      </c>
      <c r="AO45" s="64">
        <v>2</v>
      </c>
      <c r="AP45" s="64">
        <v>2</v>
      </c>
      <c r="AQ45" s="80">
        <f>'Pos9'!$F$33</f>
        <v>0</v>
      </c>
      <c r="AR45" s="80">
        <f>'Pos9'!$G$33</f>
        <v>0</v>
      </c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83"/>
      <c r="BF45" s="93"/>
      <c r="BM45" s="209"/>
      <c r="BN45" s="78"/>
      <c r="BO45" s="68" t="s">
        <v>107</v>
      </c>
      <c r="BP45" s="68"/>
      <c r="BQ45" s="68"/>
      <c r="BR45" s="68"/>
      <c r="BS45" s="68"/>
      <c r="BT45" s="68"/>
      <c r="BU45" s="68"/>
      <c r="BV45" s="91"/>
    </row>
    <row r="46" spans="9:74" ht="15" thickBot="1" x14ac:dyDescent="0.25"/>
    <row r="47" spans="9:74" x14ac:dyDescent="0.2">
      <c r="AC47" s="202">
        <f>'Bestellung Commande'!A45</f>
        <v>10</v>
      </c>
      <c r="AD47" s="76" t="s">
        <v>178</v>
      </c>
      <c r="AE47" s="67"/>
      <c r="AF47" s="61" t="str">
        <f>VLOOKUP(AF48,DATEN!$T$2:$AA$30,2,FALSE)</f>
        <v>Aluprofil</v>
      </c>
      <c r="AG47" s="61" t="str">
        <f>VLOOKUP(AG48,DATEN!$T$2:$AA$30,2,FALSE)</f>
        <v>KS-Trittschwelle</v>
      </c>
      <c r="AH47" s="61" t="s">
        <v>69</v>
      </c>
      <c r="AI47" s="61" t="s">
        <v>70</v>
      </c>
      <c r="AJ47" s="61" t="s">
        <v>71</v>
      </c>
      <c r="AK47" s="61" t="s">
        <v>72</v>
      </c>
      <c r="AL47" s="61" t="str">
        <f>VLOOKUP(AL48,DATEN!$T$2:$AA$30,2,FALSE)</f>
        <v>Anschlussdichtung</v>
      </c>
      <c r="AM47" s="61" t="str">
        <f>VLOOKUP(AM48,DATEN!$T$2:$AA$30,2,FALSE)</f>
        <v>Linsenschaube 4.8x28</v>
      </c>
      <c r="AN47" s="61" t="str">
        <f>VLOOKUP(AN48,DATEN!$T$2:$AA$30,2,FALSE)</f>
        <v>KS-Kupplungselemnt</v>
      </c>
      <c r="AO47" s="61" t="str">
        <f>VLOOKUP(AO48,DATEN!$T$2:$AA$30,2,FALSE)</f>
        <v>Dichtstück</v>
      </c>
      <c r="AP47" s="61" t="str">
        <f>VLOOKUP(AP48,DATEN!$T$2:$AA$30,2,FALSE)</f>
        <v>Endstück mit Entwässerung</v>
      </c>
      <c r="AQ47" s="61" t="s">
        <v>199</v>
      </c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5"/>
      <c r="BF47" s="17"/>
      <c r="BM47" s="207">
        <f>AC47</f>
        <v>10</v>
      </c>
      <c r="BN47" s="76" t="s">
        <v>178</v>
      </c>
      <c r="BO47" s="67" t="s">
        <v>13</v>
      </c>
      <c r="BP47" s="67" t="s">
        <v>23</v>
      </c>
      <c r="BQ47" s="67" t="s">
        <v>193</v>
      </c>
      <c r="BR47" s="67" t="s">
        <v>194</v>
      </c>
      <c r="BS47" s="67"/>
      <c r="BT47" s="67"/>
      <c r="BU47" s="67"/>
      <c r="BV47" s="95" t="s">
        <v>8</v>
      </c>
    </row>
    <row r="48" spans="9:74" x14ac:dyDescent="0.2">
      <c r="AB48">
        <f>AB43+$AB$2</f>
        <v>76</v>
      </c>
      <c r="AC48" s="203"/>
      <c r="AD48" s="77">
        <f>'Bestellung Commande'!E45</f>
        <v>0</v>
      </c>
      <c r="AE48" s="9" t="s">
        <v>77</v>
      </c>
      <c r="AF48" s="62" t="s">
        <v>12</v>
      </c>
      <c r="AG48" s="62" t="s">
        <v>15</v>
      </c>
      <c r="AH48" s="63">
        <f>VLOOKUP('Bestellung Commande'!K45,DATEN!$A$3:$D$10,2,FALSE)</f>
        <v>0</v>
      </c>
      <c r="AI48" s="63">
        <f>VLOOKUP('Bestellung Commande'!L45,DATEN!$A$3:$D$10,2,FALSE)</f>
        <v>0</v>
      </c>
      <c r="AJ48" s="63">
        <f>VLOOKUP('Bestellung Commande'!M45,DATEN!$A$3:$D$10,2,FALSE)</f>
        <v>0</v>
      </c>
      <c r="AK48" s="63">
        <f>VLOOKUP('Bestellung Commande'!N45,DATEN!$A$3:$D$10,2,FALSE)</f>
        <v>0</v>
      </c>
      <c r="AL48" s="62" t="s">
        <v>82</v>
      </c>
      <c r="AM48" s="62" t="s">
        <v>83</v>
      </c>
      <c r="AN48" s="62" t="s">
        <v>84</v>
      </c>
      <c r="AO48" s="62" t="s">
        <v>85</v>
      </c>
      <c r="AP48" s="62" t="s">
        <v>86</v>
      </c>
      <c r="AQ48" s="62" t="str">
        <f>IF(ISNA('Pos10'!$F$31),"",'Pos10'!$F$31)</f>
        <v/>
      </c>
      <c r="AR48" s="62" t="str">
        <f>IF(ISNA('Pos10'!$F$31),"",'Pos10'!$F$31)</f>
        <v/>
      </c>
      <c r="AS48" s="81" t="str">
        <f>$T$18</f>
        <v>Rüsten</v>
      </c>
      <c r="AT48" s="62" t="str">
        <f>$T$19</f>
        <v>Sägen</v>
      </c>
      <c r="AU48" s="62" t="str">
        <f>$T$20</f>
        <v>Bohren</v>
      </c>
      <c r="AV48" s="62" t="str">
        <f>$T$21</f>
        <v>Kleben</v>
      </c>
      <c r="AW48" s="62" t="str">
        <f>$T$22</f>
        <v>Montage</v>
      </c>
      <c r="AX48" s="62" t="str">
        <f>$T$23</f>
        <v>Spedi</v>
      </c>
      <c r="AY48" s="62" t="str">
        <f>$T$24</f>
        <v>Steg</v>
      </c>
      <c r="AZ48" s="62" t="str">
        <f>$T$25</f>
        <v>Job 8</v>
      </c>
      <c r="BA48" s="62" t="str">
        <f>$T$26</f>
        <v>Job 9</v>
      </c>
      <c r="BB48" s="62" t="str">
        <f>$T$27</f>
        <v>Job 10</v>
      </c>
      <c r="BC48" s="62" t="str">
        <f>$T$28</f>
        <v>Job 11</v>
      </c>
      <c r="BD48" s="62" t="str">
        <f>$T$29</f>
        <v>Job 12</v>
      </c>
      <c r="BE48" s="66" t="str">
        <f>$T$30</f>
        <v>Job 13</v>
      </c>
      <c r="BF48" s="93"/>
      <c r="BM48" s="208"/>
      <c r="BO48" t="s">
        <v>77</v>
      </c>
      <c r="BQ48" s="9"/>
      <c r="BR48" s="9"/>
      <c r="BS48" s="9"/>
      <c r="BT48" s="9"/>
      <c r="BU48" s="9"/>
      <c r="BV48" s="90"/>
    </row>
    <row r="49" spans="28:74" ht="15" x14ac:dyDescent="0.25">
      <c r="AC49" s="203"/>
      <c r="AD49" s="77"/>
      <c r="AE49" s="70">
        <f>IF(ISERROR(SUM(AF49:BF49)),0,SUM(AF49:BF49))</f>
        <v>0</v>
      </c>
      <c r="AF49" s="71">
        <f>IF(ISERROR(VLOOKUP(AF48,DATEN!$T$3:$AA$30,4,FALSE)),0,VLOOKUP(AF48,DATEN!$T$3:$AA$30,4,FALSE)*(AF50))</f>
        <v>0</v>
      </c>
      <c r="AG49" s="71">
        <f>IF(ISERROR(VLOOKUP(AG48,DATEN!$T$3:$AA$30,4,FALSE)),0,VLOOKUP(AG48,DATEN!$T$3:$AA$30,4,FALSE)*(AG50))</f>
        <v>0</v>
      </c>
      <c r="AH49" s="71">
        <f>IF(ISERROR(VLOOKUP(AH48,DATEN!$T$3:$AA$30,4,FALSE)),0,VLOOKUP(AH48,DATEN!$T$3:$AA$30,4,FALSE)*(AH50))</f>
        <v>0</v>
      </c>
      <c r="AI49" s="71">
        <f>IF(ISERROR(VLOOKUP(AI48,DATEN!$T$3:$AA$30,4,FALSE)),0,VLOOKUP(AI48,DATEN!$T$3:$AA$30,4,FALSE)*(AI50))</f>
        <v>0</v>
      </c>
      <c r="AJ49" s="71">
        <f>IF(ISERROR(VLOOKUP(AJ48,DATEN!$T$3:$AA$30,4,FALSE)),0,VLOOKUP(AJ48,DATEN!$T$3:$AA$30,4,FALSE)*(AJ50))</f>
        <v>0</v>
      </c>
      <c r="AK49" s="71">
        <f>IF(ISERROR(VLOOKUP(AK48,DATEN!$T$3:$AA$30,4,FALSE)),0,VLOOKUP(AK48,DATEN!$T$3:$AA$30,4,FALSE)*(AK50))</f>
        <v>0</v>
      </c>
      <c r="AL49" s="71">
        <f>IF(ISERROR(VLOOKUP(AL48,DATEN!$T$3:$AA$30,4,FALSE)),0,VLOOKUP(AL48,DATEN!$T$3:$AA$30,4,FALSE)*(AL50))</f>
        <v>0</v>
      </c>
      <c r="AM49" s="71">
        <f>IF(ISERROR(VLOOKUP(AM48,DATEN!$T$3:$AC$30,4,FALSE)),0,VLOOKUP(AM48,DATEN!$T$3:$AC$30,4,FALSE)*(AM50))</f>
        <v>0.32640000000000002</v>
      </c>
      <c r="AN49" s="71">
        <f>IF(ISERROR(VLOOKUP(AN48,DATEN!$T$3:$AC$30,4,FALSE)),0,VLOOKUP(AN48,DATEN!$T$3:$AC$30,4,FALSE)*(AN50))</f>
        <v>0</v>
      </c>
      <c r="AO49" s="71">
        <f>IF(ISERROR(VLOOKUP(AO48,DATEN!$T$3:$AC$30,4,FALSE)),0,VLOOKUP(AO48,DATEN!$T$3:$AC$30,4,FALSE)*(AO50))</f>
        <v>4.0104000000000006</v>
      </c>
      <c r="AP49" s="71">
        <f>IF(ISERROR(VLOOKUP(AP48,DATEN!$T$3:$AC$30,4,FALSE)),0,VLOOKUP(AP48,DATEN!$T$3:$AC$30,4,FALSE)*(AP50))</f>
        <v>59.22</v>
      </c>
      <c r="AQ49" s="71">
        <f>IF(ISNA(VLOOKUP(AQ48,$M$7:$R$14,6,FALSE)),0,VLOOKUP(AQ48,$M$7:$R$14,6,FALSE))</f>
        <v>0</v>
      </c>
      <c r="AR49" s="71">
        <f>IF(ISNA(VLOOKUP(AR48,$M$7:$R$14,6,FALSE)),0,VLOOKUP(AR48,$M$7:$R$14,6,FALSE))</f>
        <v>0</v>
      </c>
      <c r="AS49" s="82" t="e">
        <f>(VLOOKUP(AS48,$T$2:$AA$30,3,FALSE)/$AD48)+(VLOOKUP(AS48,$T$2:$AA$30,4,FALSE))</f>
        <v>#DIV/0!</v>
      </c>
      <c r="AT49" s="71" t="e">
        <f t="shared" ref="AT49:BE49" si="54">(VLOOKUP(AT48,$T$2:$AA$30,3,FALSE)/$AD48)+(VLOOKUP(AT48,$T$2:$AA$30,4,FALSE))</f>
        <v>#DIV/0!</v>
      </c>
      <c r="AU49" s="71" t="e">
        <f t="shared" si="54"/>
        <v>#DIV/0!</v>
      </c>
      <c r="AV49" s="71" t="e">
        <f t="shared" si="54"/>
        <v>#DIV/0!</v>
      </c>
      <c r="AW49" s="71" t="e">
        <f t="shared" si="54"/>
        <v>#DIV/0!</v>
      </c>
      <c r="AX49" s="71" t="e">
        <f t="shared" si="54"/>
        <v>#DIV/0!</v>
      </c>
      <c r="AY49" s="71" t="e">
        <f t="shared" si="54"/>
        <v>#DIV/0!</v>
      </c>
      <c r="AZ49" s="71" t="e">
        <f t="shared" si="54"/>
        <v>#DIV/0!</v>
      </c>
      <c r="BA49" s="71" t="e">
        <f t="shared" si="54"/>
        <v>#DIV/0!</v>
      </c>
      <c r="BB49" s="71" t="e">
        <f t="shared" si="54"/>
        <v>#DIV/0!</v>
      </c>
      <c r="BC49" s="71" t="e">
        <f t="shared" si="54"/>
        <v>#DIV/0!</v>
      </c>
      <c r="BD49" s="71" t="e">
        <f t="shared" si="54"/>
        <v>#DIV/0!</v>
      </c>
      <c r="BE49" s="72" t="e">
        <f t="shared" si="54"/>
        <v>#DIV/0!</v>
      </c>
      <c r="BF49" s="94">
        <f>BV49</f>
        <v>0</v>
      </c>
      <c r="BM49" s="208"/>
      <c r="BN49" s="106">
        <f>AD48</f>
        <v>0</v>
      </c>
      <c r="BO49" s="70">
        <f>AF50</f>
        <v>0</v>
      </c>
      <c r="BP49" s="70">
        <f>COUNT('Bestellung Commande'!K45:N45)</f>
        <v>0</v>
      </c>
      <c r="BQ49" s="9">
        <f>BO49*BP49*$V$44*BN49</f>
        <v>0</v>
      </c>
      <c r="BR49" s="9">
        <f>BP49*$W$44*BN49</f>
        <v>0</v>
      </c>
      <c r="BS49" s="9"/>
      <c r="BT49" s="9"/>
      <c r="BU49" s="9"/>
      <c r="BV49" s="90">
        <f>SUM(BQ49:BU49)</f>
        <v>0</v>
      </c>
    </row>
    <row r="50" spans="28:74" ht="15" thickBot="1" x14ac:dyDescent="0.25">
      <c r="AC50" s="204"/>
      <c r="AD50" s="78"/>
      <c r="AE50" s="68" t="s">
        <v>107</v>
      </c>
      <c r="AF50" s="69">
        <f>'Bestellung Commande'!$F45/1000</f>
        <v>0</v>
      </c>
      <c r="AG50" s="69">
        <f>'Bestellung Commande'!$F45/1000</f>
        <v>0</v>
      </c>
      <c r="AH50" s="69">
        <f>'Bestellung Commande'!$F45/1000</f>
        <v>0</v>
      </c>
      <c r="AI50" s="69">
        <f>'Bestellung Commande'!$F45/1000</f>
        <v>0</v>
      </c>
      <c r="AJ50" s="69">
        <f>'Bestellung Commande'!$F45/1000</f>
        <v>0</v>
      </c>
      <c r="AK50" s="69">
        <f>'Bestellung Commande'!$F45/1000</f>
        <v>0</v>
      </c>
      <c r="AL50" s="69">
        <f>'Bestellung Commande'!$F45/1000</f>
        <v>0</v>
      </c>
      <c r="AM50" s="64">
        <v>2</v>
      </c>
      <c r="AN50" s="64">
        <v>0</v>
      </c>
      <c r="AO50" s="64">
        <v>2</v>
      </c>
      <c r="AP50" s="64">
        <v>2</v>
      </c>
      <c r="AQ50" s="80">
        <f>'Pos10'!$F$33</f>
        <v>0</v>
      </c>
      <c r="AR50" s="80">
        <f>'Pos10'!$G$33</f>
        <v>0</v>
      </c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83"/>
      <c r="BF50" s="93"/>
      <c r="BM50" s="209"/>
      <c r="BN50" s="78"/>
      <c r="BO50" s="68" t="s">
        <v>107</v>
      </c>
      <c r="BP50" s="68"/>
      <c r="BQ50" s="68"/>
      <c r="BR50" s="68"/>
      <c r="BS50" s="68"/>
      <c r="BT50" s="68"/>
      <c r="BU50" s="68"/>
      <c r="BV50" s="91"/>
    </row>
    <row r="51" spans="28:74" ht="15" thickBot="1" x14ac:dyDescent="0.25"/>
    <row r="52" spans="28:74" x14ac:dyDescent="0.2">
      <c r="AC52" s="202">
        <f>'Bestellung Commande'!A47</f>
        <v>11</v>
      </c>
      <c r="AD52" s="76" t="s">
        <v>178</v>
      </c>
      <c r="AE52" s="67"/>
      <c r="AF52" s="61" t="str">
        <f>VLOOKUP(AF53,DATEN!$T$2:$AA$30,2,FALSE)</f>
        <v>Aluprofil</v>
      </c>
      <c r="AG52" s="61" t="str">
        <f>VLOOKUP(AG53,DATEN!$T$2:$AA$30,2,FALSE)</f>
        <v>KS-Trittschwelle</v>
      </c>
      <c r="AH52" s="61" t="s">
        <v>69</v>
      </c>
      <c r="AI52" s="61" t="s">
        <v>70</v>
      </c>
      <c r="AJ52" s="61" t="s">
        <v>71</v>
      </c>
      <c r="AK52" s="61" t="s">
        <v>72</v>
      </c>
      <c r="AL52" s="61" t="str">
        <f>VLOOKUP(AL53,DATEN!$T$2:$AA$30,2,FALSE)</f>
        <v>Anschlussdichtung</v>
      </c>
      <c r="AM52" s="61" t="str">
        <f>VLOOKUP(AM53,DATEN!$T$2:$AA$30,2,FALSE)</f>
        <v>Linsenschaube 4.8x28</v>
      </c>
      <c r="AN52" s="61" t="str">
        <f>VLOOKUP(AN53,DATEN!$T$2:$AA$30,2,FALSE)</f>
        <v>KS-Kupplungselemnt</v>
      </c>
      <c r="AO52" s="61" t="str">
        <f>VLOOKUP(AO53,DATEN!$T$2:$AA$30,2,FALSE)</f>
        <v>Dichtstück</v>
      </c>
      <c r="AP52" s="61" t="str">
        <f>VLOOKUP(AP53,DATEN!$T$2:$AA$30,2,FALSE)</f>
        <v>Endstück mit Entwässerung</v>
      </c>
      <c r="AQ52" s="61" t="s">
        <v>199</v>
      </c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5"/>
      <c r="BF52" s="17"/>
      <c r="BM52" s="207">
        <f>AC52</f>
        <v>11</v>
      </c>
      <c r="BN52" s="76" t="s">
        <v>178</v>
      </c>
      <c r="BO52" s="67" t="s">
        <v>13</v>
      </c>
      <c r="BP52" s="67" t="s">
        <v>23</v>
      </c>
      <c r="BQ52" s="67" t="s">
        <v>193</v>
      </c>
      <c r="BR52" s="67" t="s">
        <v>194</v>
      </c>
      <c r="BS52" s="67"/>
      <c r="BT52" s="67"/>
      <c r="BU52" s="67"/>
      <c r="BV52" s="95" t="s">
        <v>8</v>
      </c>
    </row>
    <row r="53" spans="28:74" x14ac:dyDescent="0.2">
      <c r="AB53">
        <f>AB48+$AB$2</f>
        <v>81</v>
      </c>
      <c r="AC53" s="203"/>
      <c r="AD53" s="77">
        <f>'Bestellung Commande'!E47</f>
        <v>0</v>
      </c>
      <c r="AE53" s="9" t="s">
        <v>77</v>
      </c>
      <c r="AF53" s="62" t="s">
        <v>12</v>
      </c>
      <c r="AG53" s="62" t="s">
        <v>15</v>
      </c>
      <c r="AH53" s="63">
        <f>VLOOKUP('Bestellung Commande'!K47,DATEN!$A$3:$D$10,2,FALSE)</f>
        <v>0</v>
      </c>
      <c r="AI53" s="63">
        <f>VLOOKUP('Bestellung Commande'!L47,DATEN!$A$3:$D$10,2,FALSE)</f>
        <v>0</v>
      </c>
      <c r="AJ53" s="63">
        <f>VLOOKUP('Bestellung Commande'!M47,DATEN!$A$3:$D$10,2,FALSE)</f>
        <v>0</v>
      </c>
      <c r="AK53" s="63">
        <f>VLOOKUP('Bestellung Commande'!N47,DATEN!$A$3:$D$10,2,FALSE)</f>
        <v>0</v>
      </c>
      <c r="AL53" s="62" t="s">
        <v>82</v>
      </c>
      <c r="AM53" s="62" t="s">
        <v>83</v>
      </c>
      <c r="AN53" s="62" t="s">
        <v>84</v>
      </c>
      <c r="AO53" s="62" t="s">
        <v>85</v>
      </c>
      <c r="AP53" s="62" t="s">
        <v>86</v>
      </c>
      <c r="AQ53" s="62" t="str">
        <f>IF(ISNA('Pos11'!$F$31),"",'Pos11'!$F$31)</f>
        <v/>
      </c>
      <c r="AR53" s="93"/>
      <c r="AS53" s="81" t="str">
        <f>$T$18</f>
        <v>Rüsten</v>
      </c>
      <c r="AT53" s="62" t="str">
        <f>$T$19</f>
        <v>Sägen</v>
      </c>
      <c r="AU53" s="62" t="str">
        <f>$T$20</f>
        <v>Bohren</v>
      </c>
      <c r="AV53" s="62" t="str">
        <f>$T$21</f>
        <v>Kleben</v>
      </c>
      <c r="AW53" s="62" t="str">
        <f>$T$22</f>
        <v>Montage</v>
      </c>
      <c r="AX53" s="62" t="str">
        <f>$T$23</f>
        <v>Spedi</v>
      </c>
      <c r="AY53" s="62" t="str">
        <f>$T$24</f>
        <v>Steg</v>
      </c>
      <c r="AZ53" s="62" t="str">
        <f>$T$25</f>
        <v>Job 8</v>
      </c>
      <c r="BA53" s="62" t="str">
        <f>$T$26</f>
        <v>Job 9</v>
      </c>
      <c r="BB53" s="62" t="str">
        <f>$T$27</f>
        <v>Job 10</v>
      </c>
      <c r="BC53" s="62" t="str">
        <f>$T$28</f>
        <v>Job 11</v>
      </c>
      <c r="BD53" s="62" t="str">
        <f>$T$29</f>
        <v>Job 12</v>
      </c>
      <c r="BE53" s="66" t="str">
        <f>$T$30</f>
        <v>Job 13</v>
      </c>
      <c r="BF53" s="93"/>
      <c r="BM53" s="208"/>
      <c r="BO53" t="s">
        <v>77</v>
      </c>
      <c r="BQ53" s="9"/>
      <c r="BR53" s="9"/>
      <c r="BS53" s="9"/>
      <c r="BT53" s="9"/>
      <c r="BU53" s="9"/>
      <c r="BV53" s="90"/>
    </row>
    <row r="54" spans="28:74" ht="15" x14ac:dyDescent="0.25">
      <c r="AC54" s="203"/>
      <c r="AD54" s="77"/>
      <c r="AE54" s="70">
        <f>IF(ISERROR(SUM(AF54:BF54)),0,SUM(AF54:BF54))</f>
        <v>0</v>
      </c>
      <c r="AF54" s="71">
        <f>IF(ISERROR(VLOOKUP(AF53,DATEN!$T$3:$AA$30,4,FALSE)),0,VLOOKUP(AF53,DATEN!$T$3:$AA$30,4,FALSE)*(AF55))</f>
        <v>0</v>
      </c>
      <c r="AG54" s="71">
        <f>IF(ISERROR(VLOOKUP(AG53,DATEN!$T$3:$AA$30,4,FALSE)),0,VLOOKUP(AG53,DATEN!$T$3:$AA$30,4,FALSE)*(AG55))</f>
        <v>0</v>
      </c>
      <c r="AH54" s="71">
        <f>IF(ISERROR(VLOOKUP(AH53,DATEN!$T$3:$AA$30,4,FALSE)),0,VLOOKUP(AH53,DATEN!$T$3:$AA$30,4,FALSE)*(AH55))</f>
        <v>0</v>
      </c>
      <c r="AI54" s="71">
        <f>IF(ISERROR(VLOOKUP(AI53,DATEN!$T$3:$AA$30,4,FALSE)),0,VLOOKUP(AI53,DATEN!$T$3:$AA$30,4,FALSE)*(AI55))</f>
        <v>0</v>
      </c>
      <c r="AJ54" s="71">
        <f>IF(ISERROR(VLOOKUP(AJ53,DATEN!$T$3:$AA$30,4,FALSE)),0,VLOOKUP(AJ53,DATEN!$T$3:$AA$30,4,FALSE)*(AJ55))</f>
        <v>0</v>
      </c>
      <c r="AK54" s="71">
        <f>IF(ISERROR(VLOOKUP(AK53,DATEN!$T$3:$AA$30,4,FALSE)),0,VLOOKUP(AK53,DATEN!$T$3:$AA$30,4,FALSE)*(AK55))</f>
        <v>0</v>
      </c>
      <c r="AL54" s="71">
        <f>IF(ISERROR(VLOOKUP(AL53,DATEN!$T$3:$AA$30,4,FALSE)),0,VLOOKUP(AL53,DATEN!$T$3:$AA$30,4,FALSE)*(AL55))</f>
        <v>0</v>
      </c>
      <c r="AM54" s="71">
        <f>IF(ISERROR(VLOOKUP(AM53,DATEN!$T$3:$AC$30,4,FALSE)),0,VLOOKUP(AM53,DATEN!$T$3:$AC$30,4,FALSE)*(AM55))</f>
        <v>0.32640000000000002</v>
      </c>
      <c r="AN54" s="71">
        <f>IF(ISERROR(VLOOKUP(AN53,DATEN!$T$3:$AC$30,4,FALSE)),0,VLOOKUP(AN53,DATEN!$T$3:$AC$30,4,FALSE)*(AN55))</f>
        <v>0</v>
      </c>
      <c r="AO54" s="71">
        <f>IF(ISERROR(VLOOKUP(AO53,DATEN!$T$3:$AC$30,4,FALSE)),0,VLOOKUP(AO53,DATEN!$T$3:$AC$30,4,FALSE)*(AO55))</f>
        <v>4.0104000000000006</v>
      </c>
      <c r="AP54" s="71">
        <f>IF(ISERROR(VLOOKUP(AP53,DATEN!$T$3:$AC$30,4,FALSE)),0,VLOOKUP(AP53,DATEN!$T$3:$AC$30,4,FALSE)*(AP55))</f>
        <v>59.22</v>
      </c>
      <c r="AQ54" s="71">
        <f>IF(ISNA(VLOOKUP(AQ53,$M$7:$R$14,6,FALSE)),0,VLOOKUP(AQ53,$M$7:$R$14,6,FALSE))</f>
        <v>0</v>
      </c>
      <c r="AR54" s="71">
        <f>IF(ISNA(VLOOKUP(AR53,$M$7:$R$14,6,FALSE)),0,VLOOKUP(AR53,$M$7:$R$14,6,FALSE))</f>
        <v>0</v>
      </c>
      <c r="AS54" s="82" t="e">
        <f>(VLOOKUP(AS53,$T$2:$AA$30,3,FALSE)/$AD53)+(VLOOKUP(AS53,$T$2:$AA$30,4,FALSE))</f>
        <v>#DIV/0!</v>
      </c>
      <c r="AT54" s="71" t="e">
        <f t="shared" ref="AT54:BE54" si="55">(VLOOKUP(AT53,$T$2:$AA$30,3,FALSE)/$AD53)+(VLOOKUP(AT53,$T$2:$AA$30,4,FALSE))</f>
        <v>#DIV/0!</v>
      </c>
      <c r="AU54" s="71" t="e">
        <f t="shared" si="55"/>
        <v>#DIV/0!</v>
      </c>
      <c r="AV54" s="71" t="e">
        <f t="shared" si="55"/>
        <v>#DIV/0!</v>
      </c>
      <c r="AW54" s="71" t="e">
        <f t="shared" si="55"/>
        <v>#DIV/0!</v>
      </c>
      <c r="AX54" s="71" t="e">
        <f t="shared" si="55"/>
        <v>#DIV/0!</v>
      </c>
      <c r="AY54" s="71" t="e">
        <f t="shared" si="55"/>
        <v>#DIV/0!</v>
      </c>
      <c r="AZ54" s="71" t="e">
        <f t="shared" si="55"/>
        <v>#DIV/0!</v>
      </c>
      <c r="BA54" s="71" t="e">
        <f t="shared" si="55"/>
        <v>#DIV/0!</v>
      </c>
      <c r="BB54" s="71" t="e">
        <f t="shared" si="55"/>
        <v>#DIV/0!</v>
      </c>
      <c r="BC54" s="71" t="e">
        <f t="shared" si="55"/>
        <v>#DIV/0!</v>
      </c>
      <c r="BD54" s="71" t="e">
        <f t="shared" si="55"/>
        <v>#DIV/0!</v>
      </c>
      <c r="BE54" s="72" t="e">
        <f t="shared" si="55"/>
        <v>#DIV/0!</v>
      </c>
      <c r="BF54" s="94">
        <f>BV54</f>
        <v>0</v>
      </c>
      <c r="BM54" s="208"/>
      <c r="BN54" s="106">
        <f>AD53</f>
        <v>0</v>
      </c>
      <c r="BO54" s="70">
        <f>AF55</f>
        <v>0</v>
      </c>
      <c r="BP54" s="70">
        <f>COUNT('Bestellung Commande'!K47:N47)</f>
        <v>0</v>
      </c>
      <c r="BQ54" s="9">
        <f>BO54*BP54*$V$44*BN54</f>
        <v>0</v>
      </c>
      <c r="BR54" s="9">
        <f>BP54*$W$44*BN54</f>
        <v>0</v>
      </c>
      <c r="BS54" s="9"/>
      <c r="BT54" s="9"/>
      <c r="BU54" s="9"/>
      <c r="BV54" s="90">
        <f>SUM(BQ54:BU54)</f>
        <v>0</v>
      </c>
    </row>
    <row r="55" spans="28:74" ht="15" thickBot="1" x14ac:dyDescent="0.25">
      <c r="AC55" s="204"/>
      <c r="AD55" s="78"/>
      <c r="AE55" s="68" t="s">
        <v>107</v>
      </c>
      <c r="AF55" s="69">
        <f>'Bestellung Commande'!$F47/1000</f>
        <v>0</v>
      </c>
      <c r="AG55" s="69">
        <f>'Bestellung Commande'!$F47/1000</f>
        <v>0</v>
      </c>
      <c r="AH55" s="69">
        <f>'Bestellung Commande'!$F47/1000</f>
        <v>0</v>
      </c>
      <c r="AI55" s="69">
        <f>'Bestellung Commande'!$F47/1000</f>
        <v>0</v>
      </c>
      <c r="AJ55" s="69">
        <f>'Bestellung Commande'!$F47/1000</f>
        <v>0</v>
      </c>
      <c r="AK55" s="69">
        <f>'Bestellung Commande'!$F47/1000</f>
        <v>0</v>
      </c>
      <c r="AL55" s="69">
        <f>'Bestellung Commande'!$F47/1000</f>
        <v>0</v>
      </c>
      <c r="AM55" s="64">
        <v>2</v>
      </c>
      <c r="AN55" s="64">
        <v>0</v>
      </c>
      <c r="AO55" s="64">
        <v>2</v>
      </c>
      <c r="AP55" s="64">
        <v>2</v>
      </c>
      <c r="AQ55" s="80">
        <f>'Pos11'!$F$33</f>
        <v>0</v>
      </c>
      <c r="AR55" s="80">
        <f>'Pos11'!$G$33</f>
        <v>0</v>
      </c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83"/>
      <c r="BF55" s="93"/>
      <c r="BM55" s="209"/>
      <c r="BN55" s="78"/>
      <c r="BO55" s="68" t="s">
        <v>107</v>
      </c>
      <c r="BP55" s="68"/>
      <c r="BQ55" s="68"/>
      <c r="BR55" s="68"/>
      <c r="BS55" s="68"/>
      <c r="BT55" s="68"/>
      <c r="BU55" s="68"/>
      <c r="BV55" s="91"/>
    </row>
    <row r="56" spans="28:74" ht="15" thickBot="1" x14ac:dyDescent="0.25"/>
    <row r="57" spans="28:74" x14ac:dyDescent="0.2">
      <c r="AC57" s="202">
        <f>'Bestellung Commande'!A49</f>
        <v>12</v>
      </c>
      <c r="AD57" s="76" t="s">
        <v>178</v>
      </c>
      <c r="AE57" s="67"/>
      <c r="AF57" s="61" t="str">
        <f>VLOOKUP(AF58,DATEN!$T$2:$AA$30,2,FALSE)</f>
        <v>Aluprofil</v>
      </c>
      <c r="AG57" s="61" t="str">
        <f>VLOOKUP(AG58,DATEN!$T$2:$AA$30,2,FALSE)</f>
        <v>KS-Trittschwelle</v>
      </c>
      <c r="AH57" s="61" t="s">
        <v>69</v>
      </c>
      <c r="AI57" s="61" t="s">
        <v>70</v>
      </c>
      <c r="AJ57" s="61" t="s">
        <v>71</v>
      </c>
      <c r="AK57" s="61" t="s">
        <v>72</v>
      </c>
      <c r="AL57" s="61" t="str">
        <f>VLOOKUP(AL58,DATEN!$T$2:$AA$30,2,FALSE)</f>
        <v>Anschlussdichtung</v>
      </c>
      <c r="AM57" s="61" t="str">
        <f>VLOOKUP(AM58,DATEN!$T$2:$AA$30,2,FALSE)</f>
        <v>Linsenschaube 4.8x28</v>
      </c>
      <c r="AN57" s="61" t="str">
        <f>VLOOKUP(AN58,DATEN!$T$2:$AA$30,2,FALSE)</f>
        <v>KS-Kupplungselemnt</v>
      </c>
      <c r="AO57" s="61" t="str">
        <f>VLOOKUP(AO58,DATEN!$T$2:$AA$30,2,FALSE)</f>
        <v>Dichtstück</v>
      </c>
      <c r="AP57" s="61" t="str">
        <f>VLOOKUP(AP58,DATEN!$T$2:$AA$30,2,FALSE)</f>
        <v>Endstück mit Entwässerung</v>
      </c>
      <c r="AQ57" s="61" t="s">
        <v>199</v>
      </c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5"/>
      <c r="BF57" s="17"/>
      <c r="BM57" s="207">
        <f>AC57</f>
        <v>12</v>
      </c>
      <c r="BN57" s="76" t="s">
        <v>178</v>
      </c>
      <c r="BO57" s="67" t="s">
        <v>13</v>
      </c>
      <c r="BP57" s="67" t="s">
        <v>23</v>
      </c>
      <c r="BQ57" s="67" t="s">
        <v>193</v>
      </c>
      <c r="BR57" s="67" t="s">
        <v>194</v>
      </c>
      <c r="BS57" s="67"/>
      <c r="BT57" s="67"/>
      <c r="BU57" s="67"/>
      <c r="BV57" s="95" t="s">
        <v>8</v>
      </c>
    </row>
    <row r="58" spans="28:74" x14ac:dyDescent="0.2">
      <c r="AB58">
        <f>AB53+$AB$2</f>
        <v>86</v>
      </c>
      <c r="AC58" s="203"/>
      <c r="AD58" s="77">
        <f>'Bestellung Commande'!E49</f>
        <v>0</v>
      </c>
      <c r="AE58" s="9" t="s">
        <v>77</v>
      </c>
      <c r="AF58" s="62" t="s">
        <v>12</v>
      </c>
      <c r="AG58" s="62" t="s">
        <v>15</v>
      </c>
      <c r="AH58" s="63">
        <f>VLOOKUP('Bestellung Commande'!K49,DATEN!$A$3:$D$10,2,FALSE)</f>
        <v>0</v>
      </c>
      <c r="AI58" s="63">
        <f>VLOOKUP('Bestellung Commande'!L49,DATEN!$A$3:$D$10,2,FALSE)</f>
        <v>0</v>
      </c>
      <c r="AJ58" s="63">
        <f>VLOOKUP('Bestellung Commande'!M49,DATEN!$A$3:$D$10,2,FALSE)</f>
        <v>0</v>
      </c>
      <c r="AK58" s="63">
        <f>VLOOKUP('Bestellung Commande'!N49,DATEN!$A$3:$D$10,2,FALSE)</f>
        <v>0</v>
      </c>
      <c r="AL58" s="62" t="s">
        <v>82</v>
      </c>
      <c r="AM58" s="62" t="s">
        <v>83</v>
      </c>
      <c r="AN58" s="62" t="s">
        <v>84</v>
      </c>
      <c r="AO58" s="62" t="s">
        <v>85</v>
      </c>
      <c r="AP58" s="62" t="s">
        <v>86</v>
      </c>
      <c r="AQ58" s="62" t="str">
        <f>IF(ISNA('Pos12'!$F$31),"",'Pos12'!$F$31)</f>
        <v/>
      </c>
      <c r="AR58" s="93"/>
      <c r="AS58" s="81" t="str">
        <f>$T$18</f>
        <v>Rüsten</v>
      </c>
      <c r="AT58" s="62" t="str">
        <f>$T$19</f>
        <v>Sägen</v>
      </c>
      <c r="AU58" s="62" t="str">
        <f>$T$20</f>
        <v>Bohren</v>
      </c>
      <c r="AV58" s="62" t="str">
        <f>$T$21</f>
        <v>Kleben</v>
      </c>
      <c r="AW58" s="62" t="str">
        <f>$T$22</f>
        <v>Montage</v>
      </c>
      <c r="AX58" s="62" t="str">
        <f>$T$23</f>
        <v>Spedi</v>
      </c>
      <c r="AY58" s="62" t="str">
        <f>$T$24</f>
        <v>Steg</v>
      </c>
      <c r="AZ58" s="62" t="str">
        <f>$T$25</f>
        <v>Job 8</v>
      </c>
      <c r="BA58" s="62" t="str">
        <f>$T$26</f>
        <v>Job 9</v>
      </c>
      <c r="BB58" s="62" t="str">
        <f>$T$27</f>
        <v>Job 10</v>
      </c>
      <c r="BC58" s="62" t="str">
        <f>$T$28</f>
        <v>Job 11</v>
      </c>
      <c r="BD58" s="62" t="str">
        <f>$T$29</f>
        <v>Job 12</v>
      </c>
      <c r="BE58" s="66" t="str">
        <f>$T$30</f>
        <v>Job 13</v>
      </c>
      <c r="BF58" s="93"/>
      <c r="BM58" s="208"/>
      <c r="BO58" t="s">
        <v>77</v>
      </c>
      <c r="BQ58" s="9"/>
      <c r="BR58" s="9"/>
      <c r="BS58" s="9"/>
      <c r="BT58" s="9"/>
      <c r="BU58" s="9"/>
      <c r="BV58" s="90"/>
    </row>
    <row r="59" spans="28:74" ht="15" x14ac:dyDescent="0.25">
      <c r="AC59" s="203"/>
      <c r="AD59" s="77"/>
      <c r="AE59" s="70">
        <f>IF(ISERROR(SUM(AF59:BF59)),0,SUM(AF59:BF59))</f>
        <v>0</v>
      </c>
      <c r="AF59" s="71">
        <f>IF(ISERROR(VLOOKUP(AF58,DATEN!$T$3:$AA$30,4,FALSE)),0,VLOOKUP(AF58,DATEN!$T$3:$AA$30,4,FALSE)*(AF60))</f>
        <v>0</v>
      </c>
      <c r="AG59" s="71">
        <f>IF(ISERROR(VLOOKUP(AG58,DATEN!$T$3:$AA$30,4,FALSE)),0,VLOOKUP(AG58,DATEN!$T$3:$AA$30,4,FALSE)*(AG60))</f>
        <v>0</v>
      </c>
      <c r="AH59" s="71">
        <f>IF(ISERROR(VLOOKUP(AH58,DATEN!$T$3:$AA$30,4,FALSE)),0,VLOOKUP(AH58,DATEN!$T$3:$AA$30,4,FALSE)*(AH60))</f>
        <v>0</v>
      </c>
      <c r="AI59" s="71">
        <f>IF(ISERROR(VLOOKUP(AI58,DATEN!$T$3:$AA$30,4,FALSE)),0,VLOOKUP(AI58,DATEN!$T$3:$AA$30,4,FALSE)*(AI60))</f>
        <v>0</v>
      </c>
      <c r="AJ59" s="71">
        <f>IF(ISERROR(VLOOKUP(AJ58,DATEN!$T$3:$AA$30,4,FALSE)),0,VLOOKUP(AJ58,DATEN!$T$3:$AA$30,4,FALSE)*(AJ60))</f>
        <v>0</v>
      </c>
      <c r="AK59" s="71">
        <f>IF(ISERROR(VLOOKUP(AK58,DATEN!$T$3:$AA$30,4,FALSE)),0,VLOOKUP(AK58,DATEN!$T$3:$AA$30,4,FALSE)*(AK60))</f>
        <v>0</v>
      </c>
      <c r="AL59" s="71">
        <f>IF(ISERROR(VLOOKUP(AL58,DATEN!$T$3:$AA$30,4,FALSE)),0,VLOOKUP(AL58,DATEN!$T$3:$AA$30,4,FALSE)*(AL60))</f>
        <v>0</v>
      </c>
      <c r="AM59" s="71">
        <f>IF(ISERROR(VLOOKUP(AM58,DATEN!$T$3:$AC$30,4,FALSE)),0,VLOOKUP(AM58,DATEN!$T$3:$AC$30,4,FALSE)*(AM60))</f>
        <v>0.32640000000000002</v>
      </c>
      <c r="AN59" s="71">
        <f>IF(ISERROR(VLOOKUP(AN58,DATEN!$T$3:$AC$30,4,FALSE)),0,VLOOKUP(AN58,DATEN!$T$3:$AC$30,4,FALSE)*(AN60))</f>
        <v>0</v>
      </c>
      <c r="AO59" s="71">
        <f>IF(ISERROR(VLOOKUP(AO58,DATEN!$T$3:$AC$30,4,FALSE)),0,VLOOKUP(AO58,DATEN!$T$3:$AC$30,4,FALSE)*(AO60))</f>
        <v>4.0104000000000006</v>
      </c>
      <c r="AP59" s="71">
        <f>IF(ISERROR(VLOOKUP(AP58,DATEN!$T$3:$AC$30,4,FALSE)),0,VLOOKUP(AP58,DATEN!$T$3:$AC$30,4,FALSE)*(AP60))</f>
        <v>59.22</v>
      </c>
      <c r="AQ59" s="71">
        <f>IF(ISNA(VLOOKUP(AQ58,$M$7:$R$14,6,FALSE)),0,VLOOKUP(AQ58,$M$7:$R$14,6,FALSE))</f>
        <v>0</v>
      </c>
      <c r="AR59" s="71">
        <f>IF(ISNA(VLOOKUP(AR58,$M$7:$R$14,6,FALSE)),0,VLOOKUP(AR58,$M$7:$R$14,6,FALSE))</f>
        <v>0</v>
      </c>
      <c r="AS59" s="82" t="e">
        <f>(VLOOKUP(AS58,$T$2:$AA$30,3,FALSE)/$AD58)+(VLOOKUP(AS58,$T$2:$AA$30,4,FALSE))</f>
        <v>#DIV/0!</v>
      </c>
      <c r="AT59" s="71" t="e">
        <f t="shared" ref="AT59:BE59" si="56">(VLOOKUP(AT58,$T$2:$AA$30,3,FALSE)/$AD58)+(VLOOKUP(AT58,$T$2:$AA$30,4,FALSE))</f>
        <v>#DIV/0!</v>
      </c>
      <c r="AU59" s="71" t="e">
        <f t="shared" si="56"/>
        <v>#DIV/0!</v>
      </c>
      <c r="AV59" s="71" t="e">
        <f t="shared" si="56"/>
        <v>#DIV/0!</v>
      </c>
      <c r="AW59" s="71" t="e">
        <f t="shared" si="56"/>
        <v>#DIV/0!</v>
      </c>
      <c r="AX59" s="71" t="e">
        <f t="shared" si="56"/>
        <v>#DIV/0!</v>
      </c>
      <c r="AY59" s="71" t="e">
        <f t="shared" si="56"/>
        <v>#DIV/0!</v>
      </c>
      <c r="AZ59" s="71" t="e">
        <f t="shared" si="56"/>
        <v>#DIV/0!</v>
      </c>
      <c r="BA59" s="71" t="e">
        <f t="shared" si="56"/>
        <v>#DIV/0!</v>
      </c>
      <c r="BB59" s="71" t="e">
        <f t="shared" si="56"/>
        <v>#DIV/0!</v>
      </c>
      <c r="BC59" s="71" t="e">
        <f t="shared" si="56"/>
        <v>#DIV/0!</v>
      </c>
      <c r="BD59" s="71" t="e">
        <f t="shared" si="56"/>
        <v>#DIV/0!</v>
      </c>
      <c r="BE59" s="72" t="e">
        <f t="shared" si="56"/>
        <v>#DIV/0!</v>
      </c>
      <c r="BF59" s="94">
        <f>BV59</f>
        <v>0</v>
      </c>
      <c r="BM59" s="208"/>
      <c r="BN59" s="106">
        <f>AD58</f>
        <v>0</v>
      </c>
      <c r="BO59" s="70">
        <f>AF60</f>
        <v>0</v>
      </c>
      <c r="BP59" s="70">
        <f>COUNT('Bestellung Commande'!K49:N49)</f>
        <v>0</v>
      </c>
      <c r="BQ59" s="9">
        <f>BO59*BP59*$V$44*BN59</f>
        <v>0</v>
      </c>
      <c r="BR59" s="9">
        <f>BP59*$W$44*BN59</f>
        <v>0</v>
      </c>
      <c r="BS59" s="9"/>
      <c r="BT59" s="9"/>
      <c r="BU59" s="9"/>
      <c r="BV59" s="90">
        <f>SUM(BQ59:BU59)</f>
        <v>0</v>
      </c>
    </row>
    <row r="60" spans="28:74" ht="15" thickBot="1" x14ac:dyDescent="0.25">
      <c r="AC60" s="204"/>
      <c r="AD60" s="78"/>
      <c r="AE60" s="68" t="s">
        <v>107</v>
      </c>
      <c r="AF60" s="69">
        <f>'Bestellung Commande'!$F49/1000</f>
        <v>0</v>
      </c>
      <c r="AG60" s="69">
        <f>'Bestellung Commande'!$F49/1000</f>
        <v>0</v>
      </c>
      <c r="AH60" s="69">
        <f>'Bestellung Commande'!$F49/1000</f>
        <v>0</v>
      </c>
      <c r="AI60" s="69">
        <f>'Bestellung Commande'!$F49/1000</f>
        <v>0</v>
      </c>
      <c r="AJ60" s="69">
        <f>'Bestellung Commande'!$F49/1000</f>
        <v>0</v>
      </c>
      <c r="AK60" s="69">
        <f>'Bestellung Commande'!$F49/1000</f>
        <v>0</v>
      </c>
      <c r="AL60" s="69">
        <f>'Bestellung Commande'!$F49/1000</f>
        <v>0</v>
      </c>
      <c r="AM60" s="64">
        <v>2</v>
      </c>
      <c r="AN60" s="64">
        <v>0</v>
      </c>
      <c r="AO60" s="64">
        <v>2</v>
      </c>
      <c r="AP60" s="64">
        <v>2</v>
      </c>
      <c r="AQ60" s="80">
        <f>'Pos12'!$F$33</f>
        <v>0</v>
      </c>
      <c r="AR60" s="80">
        <f>'Pos12'!$G$33</f>
        <v>0</v>
      </c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83"/>
      <c r="BF60" s="93"/>
      <c r="BM60" s="209"/>
      <c r="BN60" s="78"/>
      <c r="BO60" s="68" t="s">
        <v>107</v>
      </c>
      <c r="BP60" s="68"/>
      <c r="BQ60" s="68"/>
      <c r="BR60" s="68"/>
      <c r="BS60" s="68"/>
      <c r="BT60" s="68"/>
      <c r="BU60" s="68"/>
      <c r="BV60" s="91"/>
    </row>
    <row r="61" spans="28:74" ht="15" thickBot="1" x14ac:dyDescent="0.25"/>
    <row r="62" spans="28:74" x14ac:dyDescent="0.2">
      <c r="AC62" s="202">
        <f>'Bestellung Commande'!A51</f>
        <v>13</v>
      </c>
      <c r="AD62" s="76" t="s">
        <v>178</v>
      </c>
      <c r="AE62" s="67"/>
      <c r="AF62" s="61" t="str">
        <f>VLOOKUP(AF63,DATEN!$T$2:$AA$30,2,FALSE)</f>
        <v>Aluprofil</v>
      </c>
      <c r="AG62" s="61" t="str">
        <f>VLOOKUP(AG63,DATEN!$T$2:$AA$30,2,FALSE)</f>
        <v>KS-Trittschwelle</v>
      </c>
      <c r="AH62" s="61" t="s">
        <v>69</v>
      </c>
      <c r="AI62" s="61" t="s">
        <v>70</v>
      </c>
      <c r="AJ62" s="61" t="s">
        <v>71</v>
      </c>
      <c r="AK62" s="61" t="s">
        <v>72</v>
      </c>
      <c r="AL62" s="61" t="str">
        <f>VLOOKUP(AL63,DATEN!$T$2:$AA$30,2,FALSE)</f>
        <v>Anschlussdichtung</v>
      </c>
      <c r="AM62" s="61" t="str">
        <f>VLOOKUP(AM63,DATEN!$T$2:$AA$30,2,FALSE)</f>
        <v>Linsenschaube 4.8x28</v>
      </c>
      <c r="AN62" s="61" t="str">
        <f>VLOOKUP(AN63,DATEN!$T$2:$AA$30,2,FALSE)</f>
        <v>KS-Kupplungselemnt</v>
      </c>
      <c r="AO62" s="61" t="str">
        <f>VLOOKUP(AO63,DATEN!$T$2:$AA$30,2,FALSE)</f>
        <v>Dichtstück</v>
      </c>
      <c r="AP62" s="61" t="str">
        <f>VLOOKUP(AP63,DATEN!$T$2:$AA$30,2,FALSE)</f>
        <v>Endstück mit Entwässerung</v>
      </c>
      <c r="AQ62" s="61" t="s">
        <v>199</v>
      </c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5"/>
      <c r="BF62" s="17"/>
      <c r="BM62" s="207">
        <f>AC62</f>
        <v>13</v>
      </c>
      <c r="BN62" s="76" t="s">
        <v>178</v>
      </c>
      <c r="BO62" s="67" t="s">
        <v>13</v>
      </c>
      <c r="BP62" s="67" t="s">
        <v>23</v>
      </c>
      <c r="BQ62" s="67" t="s">
        <v>193</v>
      </c>
      <c r="BR62" s="67" t="s">
        <v>194</v>
      </c>
      <c r="BS62" s="67"/>
      <c r="BT62" s="67"/>
      <c r="BU62" s="67"/>
      <c r="BV62" s="95" t="s">
        <v>8</v>
      </c>
    </row>
    <row r="63" spans="28:74" x14ac:dyDescent="0.2">
      <c r="AB63">
        <f>AB58+$AB$2</f>
        <v>91</v>
      </c>
      <c r="AC63" s="203"/>
      <c r="AD63" s="77">
        <f>'Bestellung Commande'!E51</f>
        <v>0</v>
      </c>
      <c r="AE63" s="9" t="s">
        <v>77</v>
      </c>
      <c r="AF63" s="62" t="s">
        <v>12</v>
      </c>
      <c r="AG63" s="62" t="s">
        <v>15</v>
      </c>
      <c r="AH63" s="63">
        <f>VLOOKUP('Bestellung Commande'!K51,DATEN!$A$3:$D$10,2,FALSE)</f>
        <v>0</v>
      </c>
      <c r="AI63" s="63">
        <f>VLOOKUP('Bestellung Commande'!L51,DATEN!$A$3:$D$10,2,FALSE)</f>
        <v>0</v>
      </c>
      <c r="AJ63" s="63">
        <f>VLOOKUP('Bestellung Commande'!M51,DATEN!$A$3:$D$10,2,FALSE)</f>
        <v>0</v>
      </c>
      <c r="AK63" s="63">
        <f>VLOOKUP('Bestellung Commande'!N51,DATEN!$A$3:$D$10,2,FALSE)</f>
        <v>0</v>
      </c>
      <c r="AL63" s="62" t="s">
        <v>82</v>
      </c>
      <c r="AM63" s="62" t="s">
        <v>83</v>
      </c>
      <c r="AN63" s="62" t="s">
        <v>84</v>
      </c>
      <c r="AO63" s="62" t="s">
        <v>85</v>
      </c>
      <c r="AP63" s="62" t="s">
        <v>86</v>
      </c>
      <c r="AQ63" s="62" t="str">
        <f>IF(ISNA('Pos13'!$F$31),"",'Pos13'!$F$31)</f>
        <v/>
      </c>
      <c r="AR63" s="93"/>
      <c r="AS63" s="81" t="str">
        <f>$T$18</f>
        <v>Rüsten</v>
      </c>
      <c r="AT63" s="62" t="str">
        <f>$T$19</f>
        <v>Sägen</v>
      </c>
      <c r="AU63" s="62" t="str">
        <f>$T$20</f>
        <v>Bohren</v>
      </c>
      <c r="AV63" s="62" t="str">
        <f>$T$21</f>
        <v>Kleben</v>
      </c>
      <c r="AW63" s="62" t="str">
        <f>$T$22</f>
        <v>Montage</v>
      </c>
      <c r="AX63" s="62" t="str">
        <f>$T$23</f>
        <v>Spedi</v>
      </c>
      <c r="AY63" s="62" t="str">
        <f>$T$24</f>
        <v>Steg</v>
      </c>
      <c r="AZ63" s="62" t="str">
        <f>$T$25</f>
        <v>Job 8</v>
      </c>
      <c r="BA63" s="62" t="str">
        <f>$T$26</f>
        <v>Job 9</v>
      </c>
      <c r="BB63" s="62" t="str">
        <f>$T$27</f>
        <v>Job 10</v>
      </c>
      <c r="BC63" s="62" t="str">
        <f>$T$28</f>
        <v>Job 11</v>
      </c>
      <c r="BD63" s="62" t="str">
        <f>$T$29</f>
        <v>Job 12</v>
      </c>
      <c r="BE63" s="66" t="str">
        <f>$T$30</f>
        <v>Job 13</v>
      </c>
      <c r="BF63" s="93"/>
      <c r="BM63" s="208"/>
      <c r="BO63" t="s">
        <v>77</v>
      </c>
      <c r="BQ63" s="9"/>
      <c r="BR63" s="9"/>
      <c r="BS63" s="9"/>
      <c r="BT63" s="9"/>
      <c r="BU63" s="9"/>
      <c r="BV63" s="90"/>
    </row>
    <row r="64" spans="28:74" ht="15" x14ac:dyDescent="0.25">
      <c r="AC64" s="203"/>
      <c r="AD64" s="77"/>
      <c r="AE64" s="70">
        <f>IF(ISERROR(SUM(AF64:BF64)),0,SUM(AF64:BF64))</f>
        <v>0</v>
      </c>
      <c r="AF64" s="71">
        <f>IF(ISERROR(VLOOKUP(AF63,DATEN!$T$3:$AA$30,4,FALSE)),0,VLOOKUP(AF63,DATEN!$T$3:$AA$30,4,FALSE)*(AF65))</f>
        <v>0</v>
      </c>
      <c r="AG64" s="71">
        <f>IF(ISERROR(VLOOKUP(AG63,DATEN!$T$3:$AA$30,4,FALSE)),0,VLOOKUP(AG63,DATEN!$T$3:$AA$30,4,FALSE)*(AG65))</f>
        <v>0</v>
      </c>
      <c r="AH64" s="71">
        <f>IF(ISERROR(VLOOKUP(AH63,DATEN!$T$3:$AA$30,4,FALSE)),0,VLOOKUP(AH63,DATEN!$T$3:$AA$30,4,FALSE)*(AH65))</f>
        <v>0</v>
      </c>
      <c r="AI64" s="71">
        <f>IF(ISERROR(VLOOKUP(AI63,DATEN!$T$3:$AA$30,4,FALSE)),0,VLOOKUP(AI63,DATEN!$T$3:$AA$30,4,FALSE)*(AI65))</f>
        <v>0</v>
      </c>
      <c r="AJ64" s="71">
        <f>IF(ISERROR(VLOOKUP(AJ63,DATEN!$T$3:$AA$30,4,FALSE)),0,VLOOKUP(AJ63,DATEN!$T$3:$AA$30,4,FALSE)*(AJ65))</f>
        <v>0</v>
      </c>
      <c r="AK64" s="71">
        <f>IF(ISERROR(VLOOKUP(AK63,DATEN!$T$3:$AA$30,4,FALSE)),0,VLOOKUP(AK63,DATEN!$T$3:$AA$30,4,FALSE)*(AK65))</f>
        <v>0</v>
      </c>
      <c r="AL64" s="71">
        <f>IF(ISERROR(VLOOKUP(AL63,DATEN!$T$3:$AA$30,4,FALSE)),0,VLOOKUP(AL63,DATEN!$T$3:$AA$30,4,FALSE)*(AL65))</f>
        <v>0</v>
      </c>
      <c r="AM64" s="71">
        <f>IF(ISERROR(VLOOKUP(AM63,DATEN!$T$3:$AC$30,4,FALSE)),0,VLOOKUP(AM63,DATEN!$T$3:$AC$30,4,FALSE)*(AM65))</f>
        <v>0.32640000000000002</v>
      </c>
      <c r="AN64" s="71">
        <f>IF(ISERROR(VLOOKUP(AN63,DATEN!$T$3:$AC$30,4,FALSE)),0,VLOOKUP(AN63,DATEN!$T$3:$AC$30,4,FALSE)*(AN65))</f>
        <v>0</v>
      </c>
      <c r="AO64" s="71">
        <f>IF(ISERROR(VLOOKUP(AO63,DATEN!$T$3:$AC$30,4,FALSE)),0,VLOOKUP(AO63,DATEN!$T$3:$AC$30,4,FALSE)*(AO65))</f>
        <v>4.0104000000000006</v>
      </c>
      <c r="AP64" s="71">
        <f>IF(ISERROR(VLOOKUP(AP63,DATEN!$T$3:$AC$30,4,FALSE)),0,VLOOKUP(AP63,DATEN!$T$3:$AC$30,4,FALSE)*(AP65))</f>
        <v>59.22</v>
      </c>
      <c r="AQ64" s="71">
        <f>IF(ISNA(VLOOKUP(AQ63,$M$7:$R$14,6,FALSE)),0,VLOOKUP(AQ63,$M$7:$R$14,6,FALSE))</f>
        <v>0</v>
      </c>
      <c r="AR64" s="71">
        <f>IF(ISNA(VLOOKUP(AR63,$M$7:$R$14,6,FALSE)),0,VLOOKUP(AR63,$M$7:$R$14,6,FALSE))</f>
        <v>0</v>
      </c>
      <c r="AS64" s="82" t="e">
        <f>(VLOOKUP(AS63,$T$2:$AA$30,3,FALSE)/$AD63)+(VLOOKUP(AS63,$T$2:$AA$30,4,FALSE))</f>
        <v>#DIV/0!</v>
      </c>
      <c r="AT64" s="71" t="e">
        <f t="shared" ref="AT64:BE64" si="57">(VLOOKUP(AT63,$T$2:$AA$30,3,FALSE)/$AD63)+(VLOOKUP(AT63,$T$2:$AA$30,4,FALSE))</f>
        <v>#DIV/0!</v>
      </c>
      <c r="AU64" s="71" t="e">
        <f t="shared" si="57"/>
        <v>#DIV/0!</v>
      </c>
      <c r="AV64" s="71" t="e">
        <f t="shared" si="57"/>
        <v>#DIV/0!</v>
      </c>
      <c r="AW64" s="71" t="e">
        <f t="shared" si="57"/>
        <v>#DIV/0!</v>
      </c>
      <c r="AX64" s="71" t="e">
        <f t="shared" si="57"/>
        <v>#DIV/0!</v>
      </c>
      <c r="AY64" s="71" t="e">
        <f t="shared" si="57"/>
        <v>#DIV/0!</v>
      </c>
      <c r="AZ64" s="71" t="e">
        <f t="shared" si="57"/>
        <v>#DIV/0!</v>
      </c>
      <c r="BA64" s="71" t="e">
        <f t="shared" si="57"/>
        <v>#DIV/0!</v>
      </c>
      <c r="BB64" s="71" t="e">
        <f t="shared" si="57"/>
        <v>#DIV/0!</v>
      </c>
      <c r="BC64" s="71" t="e">
        <f t="shared" si="57"/>
        <v>#DIV/0!</v>
      </c>
      <c r="BD64" s="71" t="e">
        <f t="shared" si="57"/>
        <v>#DIV/0!</v>
      </c>
      <c r="BE64" s="72" t="e">
        <f t="shared" si="57"/>
        <v>#DIV/0!</v>
      </c>
      <c r="BF64" s="94">
        <f>BV64</f>
        <v>0</v>
      </c>
      <c r="BM64" s="208"/>
      <c r="BN64" s="106">
        <f>AD63</f>
        <v>0</v>
      </c>
      <c r="BO64" s="70">
        <f>AF65</f>
        <v>0</v>
      </c>
      <c r="BP64" s="70">
        <f>COUNT('Bestellung Commande'!K51:N51)</f>
        <v>0</v>
      </c>
      <c r="BQ64" s="9">
        <f>BO64*BP64*$V$44*BN64</f>
        <v>0</v>
      </c>
      <c r="BR64" s="9">
        <f>BP64*$W$44*BN64</f>
        <v>0</v>
      </c>
      <c r="BS64" s="9"/>
      <c r="BT64" s="9"/>
      <c r="BU64" s="9"/>
      <c r="BV64" s="90">
        <f>SUM(BQ64:BU64)</f>
        <v>0</v>
      </c>
    </row>
    <row r="65" spans="28:74" ht="15" thickBot="1" x14ac:dyDescent="0.25">
      <c r="AC65" s="204"/>
      <c r="AD65" s="78"/>
      <c r="AE65" s="68" t="s">
        <v>107</v>
      </c>
      <c r="AF65" s="69">
        <f>'Bestellung Commande'!$F51/1000</f>
        <v>0</v>
      </c>
      <c r="AG65" s="69">
        <f>'Bestellung Commande'!$F51/1000</f>
        <v>0</v>
      </c>
      <c r="AH65" s="69">
        <f>'Bestellung Commande'!$F51/1000</f>
        <v>0</v>
      </c>
      <c r="AI65" s="69">
        <f>'Bestellung Commande'!$F51/1000</f>
        <v>0</v>
      </c>
      <c r="AJ65" s="69">
        <f>'Bestellung Commande'!$F51/1000</f>
        <v>0</v>
      </c>
      <c r="AK65" s="69">
        <f>'Bestellung Commande'!$F51/1000</f>
        <v>0</v>
      </c>
      <c r="AL65" s="69">
        <f>'Bestellung Commande'!$F51/1000</f>
        <v>0</v>
      </c>
      <c r="AM65" s="64">
        <v>2</v>
      </c>
      <c r="AN65" s="64">
        <v>0</v>
      </c>
      <c r="AO65" s="64">
        <v>2</v>
      </c>
      <c r="AP65" s="64">
        <v>2</v>
      </c>
      <c r="AQ65" s="80">
        <f>'Pos13'!$F$33</f>
        <v>0</v>
      </c>
      <c r="AR65" s="80">
        <f>'Pos13'!$G$33</f>
        <v>0</v>
      </c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83"/>
      <c r="BF65" s="93"/>
      <c r="BM65" s="209"/>
      <c r="BN65" s="78"/>
      <c r="BO65" s="68" t="s">
        <v>107</v>
      </c>
      <c r="BP65" s="68"/>
      <c r="BQ65" s="68"/>
      <c r="BR65" s="68"/>
      <c r="BS65" s="68"/>
      <c r="BT65" s="68"/>
      <c r="BU65" s="68"/>
      <c r="BV65" s="91"/>
    </row>
    <row r="66" spans="28:74" ht="15" thickBot="1" x14ac:dyDescent="0.25"/>
    <row r="67" spans="28:74" x14ac:dyDescent="0.2">
      <c r="AC67" s="202">
        <f>'Bestellung Commande'!A53</f>
        <v>14</v>
      </c>
      <c r="AD67" s="76" t="s">
        <v>178</v>
      </c>
      <c r="AE67" s="67"/>
      <c r="AF67" s="61" t="str">
        <f>VLOOKUP(AF68,DATEN!$T$2:$AA$30,2,FALSE)</f>
        <v>Aluprofil</v>
      </c>
      <c r="AG67" s="61" t="str">
        <f>VLOOKUP(AG68,DATEN!$T$2:$AA$30,2,FALSE)</f>
        <v>KS-Trittschwelle</v>
      </c>
      <c r="AH67" s="61" t="s">
        <v>69</v>
      </c>
      <c r="AI67" s="61" t="s">
        <v>70</v>
      </c>
      <c r="AJ67" s="61" t="s">
        <v>71</v>
      </c>
      <c r="AK67" s="61" t="s">
        <v>72</v>
      </c>
      <c r="AL67" s="61" t="str">
        <f>VLOOKUP(AL68,DATEN!$T$2:$AA$30,2,FALSE)</f>
        <v>Anschlussdichtung</v>
      </c>
      <c r="AM67" s="61" t="str">
        <f>VLOOKUP(AM68,DATEN!$T$2:$AA$30,2,FALSE)</f>
        <v>Linsenschaube 4.8x28</v>
      </c>
      <c r="AN67" s="61" t="str">
        <f>VLOOKUP(AN68,DATEN!$T$2:$AA$30,2,FALSE)</f>
        <v>KS-Kupplungselemnt</v>
      </c>
      <c r="AO67" s="61" t="str">
        <f>VLOOKUP(AO68,DATEN!$T$2:$AA$30,2,FALSE)</f>
        <v>Dichtstück</v>
      </c>
      <c r="AP67" s="61" t="str">
        <f>VLOOKUP(AP68,DATEN!$T$2:$AA$30,2,FALSE)</f>
        <v>Endstück mit Entwässerung</v>
      </c>
      <c r="AQ67" s="61" t="s">
        <v>199</v>
      </c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5"/>
      <c r="BF67" s="17"/>
      <c r="BM67" s="207">
        <f>AC67</f>
        <v>14</v>
      </c>
      <c r="BN67" s="76" t="s">
        <v>178</v>
      </c>
      <c r="BO67" s="67" t="s">
        <v>13</v>
      </c>
      <c r="BP67" s="67" t="s">
        <v>23</v>
      </c>
      <c r="BQ67" s="67" t="s">
        <v>193</v>
      </c>
      <c r="BR67" s="67" t="s">
        <v>194</v>
      </c>
      <c r="BS67" s="67"/>
      <c r="BT67" s="67"/>
      <c r="BU67" s="67"/>
      <c r="BV67" s="95" t="s">
        <v>8</v>
      </c>
    </row>
    <row r="68" spans="28:74" x14ac:dyDescent="0.2">
      <c r="AB68">
        <f>AB63+$AB$2</f>
        <v>96</v>
      </c>
      <c r="AC68" s="203"/>
      <c r="AD68" s="77">
        <f>'Bestellung Commande'!E53</f>
        <v>0</v>
      </c>
      <c r="AE68" s="9" t="s">
        <v>77</v>
      </c>
      <c r="AF68" s="62" t="s">
        <v>12</v>
      </c>
      <c r="AG68" s="62" t="s">
        <v>15</v>
      </c>
      <c r="AH68" s="63">
        <f>VLOOKUP('Bestellung Commande'!K53,DATEN!$A$3:$D$10,2,FALSE)</f>
        <v>0</v>
      </c>
      <c r="AI68" s="63">
        <f>VLOOKUP('Bestellung Commande'!L53,DATEN!$A$3:$D$10,2,FALSE)</f>
        <v>0</v>
      </c>
      <c r="AJ68" s="63">
        <f>VLOOKUP('Bestellung Commande'!M53,DATEN!$A$3:$D$10,2,FALSE)</f>
        <v>0</v>
      </c>
      <c r="AK68" s="63">
        <f>VLOOKUP('Bestellung Commande'!N53,DATEN!$A$3:$D$10,2,FALSE)</f>
        <v>0</v>
      </c>
      <c r="AL68" s="62" t="s">
        <v>82</v>
      </c>
      <c r="AM68" s="62" t="s">
        <v>83</v>
      </c>
      <c r="AN68" s="62" t="s">
        <v>84</v>
      </c>
      <c r="AO68" s="62" t="s">
        <v>85</v>
      </c>
      <c r="AP68" s="62" t="s">
        <v>86</v>
      </c>
      <c r="AQ68" s="62" t="str">
        <f>IF(ISNA('Pos14'!$F$31),"",'Pos14'!$F$31)</f>
        <v/>
      </c>
      <c r="AR68" s="93"/>
      <c r="AS68" s="81" t="str">
        <f>$T$18</f>
        <v>Rüsten</v>
      </c>
      <c r="AT68" s="62" t="str">
        <f>$T$19</f>
        <v>Sägen</v>
      </c>
      <c r="AU68" s="62" t="str">
        <f>$T$20</f>
        <v>Bohren</v>
      </c>
      <c r="AV68" s="62" t="str">
        <f>$T$21</f>
        <v>Kleben</v>
      </c>
      <c r="AW68" s="62" t="str">
        <f>$T$22</f>
        <v>Montage</v>
      </c>
      <c r="AX68" s="62" t="str">
        <f>$T$23</f>
        <v>Spedi</v>
      </c>
      <c r="AY68" s="62" t="str">
        <f>$T$24</f>
        <v>Steg</v>
      </c>
      <c r="AZ68" s="62" t="str">
        <f>$T$25</f>
        <v>Job 8</v>
      </c>
      <c r="BA68" s="62" t="str">
        <f>$T$26</f>
        <v>Job 9</v>
      </c>
      <c r="BB68" s="62" t="str">
        <f>$T$27</f>
        <v>Job 10</v>
      </c>
      <c r="BC68" s="62" t="str">
        <f>$T$28</f>
        <v>Job 11</v>
      </c>
      <c r="BD68" s="62" t="str">
        <f>$T$29</f>
        <v>Job 12</v>
      </c>
      <c r="BE68" s="66" t="str">
        <f>$T$30</f>
        <v>Job 13</v>
      </c>
      <c r="BF68" s="93"/>
      <c r="BM68" s="208"/>
      <c r="BO68" t="s">
        <v>77</v>
      </c>
      <c r="BQ68" s="9"/>
      <c r="BR68" s="9"/>
      <c r="BS68" s="9"/>
      <c r="BT68" s="9"/>
      <c r="BU68" s="9"/>
      <c r="BV68" s="90"/>
    </row>
    <row r="69" spans="28:74" ht="15" x14ac:dyDescent="0.25">
      <c r="AC69" s="203"/>
      <c r="AD69" s="77"/>
      <c r="AE69" s="70">
        <f>IF(ISERROR(SUM(AF69:BF69)),0,SUM(AF69:BF69))</f>
        <v>0</v>
      </c>
      <c r="AF69" s="71">
        <f>IF(ISERROR(VLOOKUP(AF68,DATEN!$T$3:$AA$30,4,FALSE)),0,VLOOKUP(AF68,DATEN!$T$3:$AA$30,4,FALSE)*(AF70))</f>
        <v>0</v>
      </c>
      <c r="AG69" s="71">
        <f>IF(ISERROR(VLOOKUP(AG68,DATEN!$T$3:$AA$30,4,FALSE)),0,VLOOKUP(AG68,DATEN!$T$3:$AA$30,4,FALSE)*(AG70))</f>
        <v>0</v>
      </c>
      <c r="AH69" s="71">
        <f>IF(ISERROR(VLOOKUP(AH68,DATEN!$T$3:$AA$30,4,FALSE)),0,VLOOKUP(AH68,DATEN!$T$3:$AA$30,4,FALSE)*(AH70))</f>
        <v>0</v>
      </c>
      <c r="AI69" s="71">
        <f>IF(ISERROR(VLOOKUP(AI68,DATEN!$T$3:$AA$30,4,FALSE)),0,VLOOKUP(AI68,DATEN!$T$3:$AA$30,4,FALSE)*(AI70))</f>
        <v>0</v>
      </c>
      <c r="AJ69" s="71">
        <f>IF(ISERROR(VLOOKUP(AJ68,DATEN!$T$3:$AA$30,4,FALSE)),0,VLOOKUP(AJ68,DATEN!$T$3:$AA$30,4,FALSE)*(AJ70))</f>
        <v>0</v>
      </c>
      <c r="AK69" s="71">
        <f>IF(ISERROR(VLOOKUP(AK68,DATEN!$T$3:$AA$30,4,FALSE)),0,VLOOKUP(AK68,DATEN!$T$3:$AA$30,4,FALSE)*(AK70))</f>
        <v>0</v>
      </c>
      <c r="AL69" s="71">
        <f>IF(ISERROR(VLOOKUP(AL68,DATEN!$T$3:$AA$30,4,FALSE)),0,VLOOKUP(AL68,DATEN!$T$3:$AA$30,4,FALSE)*(AL70))</f>
        <v>0</v>
      </c>
      <c r="AM69" s="71">
        <f>IF(ISERROR(VLOOKUP(AM68,DATEN!$T$3:$AC$30,4,FALSE)),0,VLOOKUP(AM68,DATEN!$T$3:$AC$30,4,FALSE)*(AM70))</f>
        <v>0.32640000000000002</v>
      </c>
      <c r="AN69" s="71">
        <f>IF(ISERROR(VLOOKUP(AN68,DATEN!$T$3:$AC$30,4,FALSE)),0,VLOOKUP(AN68,DATEN!$T$3:$AC$30,4,FALSE)*(AN70))</f>
        <v>0</v>
      </c>
      <c r="AO69" s="71">
        <f>IF(ISERROR(VLOOKUP(AO68,DATEN!$T$3:$AC$30,4,FALSE)),0,VLOOKUP(AO68,DATEN!$T$3:$AC$30,4,FALSE)*(AO70))</f>
        <v>4.0104000000000006</v>
      </c>
      <c r="AP69" s="71">
        <f>IF(ISERROR(VLOOKUP(AP68,DATEN!$T$3:$AC$30,4,FALSE)),0,VLOOKUP(AP68,DATEN!$T$3:$AC$30,4,FALSE)*(AP70))</f>
        <v>59.22</v>
      </c>
      <c r="AQ69" s="71">
        <f>IF(ISNA(VLOOKUP(AQ68,$M$7:$R$14,6,FALSE)),0,VLOOKUP(AQ68,$M$7:$R$14,6,FALSE))</f>
        <v>0</v>
      </c>
      <c r="AR69" s="71">
        <f>IF(ISNA(VLOOKUP(AR68,$M$7:$R$14,6,FALSE)),0,VLOOKUP(AR68,$M$7:$R$14,6,FALSE))</f>
        <v>0</v>
      </c>
      <c r="AS69" s="82" t="e">
        <f>(VLOOKUP(AS68,$T$2:$AA$30,3,FALSE)/$AD68)+(VLOOKUP(AS68,$T$2:$AA$30,4,FALSE))</f>
        <v>#DIV/0!</v>
      </c>
      <c r="AT69" s="71" t="e">
        <f t="shared" ref="AT69:BE69" si="58">(VLOOKUP(AT68,$T$2:$AA$30,3,FALSE)/$AD68)+(VLOOKUP(AT68,$T$2:$AA$30,4,FALSE))</f>
        <v>#DIV/0!</v>
      </c>
      <c r="AU69" s="71" t="e">
        <f t="shared" si="58"/>
        <v>#DIV/0!</v>
      </c>
      <c r="AV69" s="71" t="e">
        <f t="shared" si="58"/>
        <v>#DIV/0!</v>
      </c>
      <c r="AW69" s="71" t="e">
        <f t="shared" si="58"/>
        <v>#DIV/0!</v>
      </c>
      <c r="AX69" s="71" t="e">
        <f t="shared" si="58"/>
        <v>#DIV/0!</v>
      </c>
      <c r="AY69" s="71" t="e">
        <f t="shared" si="58"/>
        <v>#DIV/0!</v>
      </c>
      <c r="AZ69" s="71" t="e">
        <f t="shared" si="58"/>
        <v>#DIV/0!</v>
      </c>
      <c r="BA69" s="71" t="e">
        <f t="shared" si="58"/>
        <v>#DIV/0!</v>
      </c>
      <c r="BB69" s="71" t="e">
        <f t="shared" si="58"/>
        <v>#DIV/0!</v>
      </c>
      <c r="BC69" s="71" t="e">
        <f t="shared" si="58"/>
        <v>#DIV/0!</v>
      </c>
      <c r="BD69" s="71" t="e">
        <f t="shared" si="58"/>
        <v>#DIV/0!</v>
      </c>
      <c r="BE69" s="72" t="e">
        <f t="shared" si="58"/>
        <v>#DIV/0!</v>
      </c>
      <c r="BF69" s="94">
        <f>BV69</f>
        <v>0</v>
      </c>
      <c r="BM69" s="208"/>
      <c r="BN69" s="106">
        <f>AD68</f>
        <v>0</v>
      </c>
      <c r="BO69" s="70">
        <f>AF70</f>
        <v>0</v>
      </c>
      <c r="BP69" s="70">
        <f>COUNT('Bestellung Commande'!K53:N53)</f>
        <v>0</v>
      </c>
      <c r="BQ69" s="9">
        <f>BO69*BP69*$V$44*BN69</f>
        <v>0</v>
      </c>
      <c r="BR69" s="9">
        <f>BP69*$W$44*BN69</f>
        <v>0</v>
      </c>
      <c r="BS69" s="9"/>
      <c r="BT69" s="9"/>
      <c r="BU69" s="9"/>
      <c r="BV69" s="90">
        <f>SUM(BQ69:BU69)</f>
        <v>0</v>
      </c>
    </row>
    <row r="70" spans="28:74" ht="15" thickBot="1" x14ac:dyDescent="0.25">
      <c r="AC70" s="204"/>
      <c r="AD70" s="78"/>
      <c r="AE70" s="68" t="s">
        <v>107</v>
      </c>
      <c r="AF70" s="69">
        <f>'Bestellung Commande'!$F53/1000</f>
        <v>0</v>
      </c>
      <c r="AG70" s="69">
        <f>'Bestellung Commande'!$F53/1000</f>
        <v>0</v>
      </c>
      <c r="AH70" s="69">
        <f>'Bestellung Commande'!$F53/1000</f>
        <v>0</v>
      </c>
      <c r="AI70" s="69">
        <f>'Bestellung Commande'!$F53/1000</f>
        <v>0</v>
      </c>
      <c r="AJ70" s="69">
        <f>'Bestellung Commande'!$F53/1000</f>
        <v>0</v>
      </c>
      <c r="AK70" s="69">
        <f>'Bestellung Commande'!$F53/1000</f>
        <v>0</v>
      </c>
      <c r="AL70" s="69">
        <f>'Bestellung Commande'!$F53/1000</f>
        <v>0</v>
      </c>
      <c r="AM70" s="64">
        <v>2</v>
      </c>
      <c r="AN70" s="64">
        <v>0</v>
      </c>
      <c r="AO70" s="64">
        <v>2</v>
      </c>
      <c r="AP70" s="64">
        <v>2</v>
      </c>
      <c r="AQ70" s="80">
        <f>'Pos14'!$F$33</f>
        <v>0</v>
      </c>
      <c r="AR70" s="80">
        <f>'Pos14'!$G$33</f>
        <v>0</v>
      </c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83"/>
      <c r="BF70" s="93"/>
      <c r="BM70" s="209"/>
      <c r="BN70" s="78"/>
      <c r="BO70" s="68" t="s">
        <v>107</v>
      </c>
      <c r="BP70" s="68"/>
      <c r="BQ70" s="68"/>
      <c r="BR70" s="68"/>
      <c r="BS70" s="68"/>
      <c r="BT70" s="68"/>
      <c r="BU70" s="68"/>
      <c r="BV70" s="91"/>
    </row>
    <row r="71" spans="28:74" ht="15" thickBot="1" x14ac:dyDescent="0.25"/>
    <row r="72" spans="28:74" x14ac:dyDescent="0.2">
      <c r="AC72" s="202">
        <f>'Bestellung Commande'!A55</f>
        <v>15</v>
      </c>
      <c r="AD72" s="76" t="s">
        <v>178</v>
      </c>
      <c r="AE72" s="67"/>
      <c r="AF72" s="61" t="str">
        <f>VLOOKUP(AF73,DATEN!$T$2:$AA$30,2,FALSE)</f>
        <v>Aluprofil</v>
      </c>
      <c r="AG72" s="61" t="str">
        <f>VLOOKUP(AG73,DATEN!$T$2:$AA$30,2,FALSE)</f>
        <v>KS-Trittschwelle</v>
      </c>
      <c r="AH72" s="61" t="s">
        <v>69</v>
      </c>
      <c r="AI72" s="61" t="s">
        <v>70</v>
      </c>
      <c r="AJ72" s="61" t="s">
        <v>71</v>
      </c>
      <c r="AK72" s="61" t="s">
        <v>72</v>
      </c>
      <c r="AL72" s="61" t="str">
        <f>VLOOKUP(AL73,DATEN!$T$2:$AA$30,2,FALSE)</f>
        <v>Anschlussdichtung</v>
      </c>
      <c r="AM72" s="61" t="str">
        <f>VLOOKUP(AM73,DATEN!$T$2:$AA$30,2,FALSE)</f>
        <v>Linsenschaube 4.8x28</v>
      </c>
      <c r="AN72" s="61" t="str">
        <f>VLOOKUP(AN73,DATEN!$T$2:$AA$30,2,FALSE)</f>
        <v>KS-Kupplungselemnt</v>
      </c>
      <c r="AO72" s="61" t="str">
        <f>VLOOKUP(AO73,DATEN!$T$2:$AA$30,2,FALSE)</f>
        <v>Dichtstück</v>
      </c>
      <c r="AP72" s="61" t="str">
        <f>VLOOKUP(AP73,DATEN!$T$2:$AA$30,2,FALSE)</f>
        <v>Endstück mit Entwässerung</v>
      </c>
      <c r="AQ72" s="61" t="s">
        <v>199</v>
      </c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5"/>
      <c r="BF72" s="17"/>
      <c r="BM72" s="207">
        <f>AC72</f>
        <v>15</v>
      </c>
      <c r="BN72" s="76" t="s">
        <v>178</v>
      </c>
      <c r="BO72" s="67" t="s">
        <v>13</v>
      </c>
      <c r="BP72" s="67" t="s">
        <v>23</v>
      </c>
      <c r="BQ72" s="67" t="s">
        <v>193</v>
      </c>
      <c r="BR72" s="67" t="s">
        <v>194</v>
      </c>
      <c r="BS72" s="67"/>
      <c r="BT72" s="67"/>
      <c r="BU72" s="67"/>
      <c r="BV72" s="95" t="s">
        <v>8</v>
      </c>
    </row>
    <row r="73" spans="28:74" x14ac:dyDescent="0.2">
      <c r="AB73">
        <f>AB68+$AB$2</f>
        <v>101</v>
      </c>
      <c r="AC73" s="203"/>
      <c r="AD73" s="77">
        <f>'Bestellung Commande'!E55</f>
        <v>0</v>
      </c>
      <c r="AE73" s="9" t="s">
        <v>77</v>
      </c>
      <c r="AF73" s="62" t="s">
        <v>12</v>
      </c>
      <c r="AG73" s="62" t="s">
        <v>15</v>
      </c>
      <c r="AH73" s="63">
        <f>VLOOKUP('Bestellung Commande'!K55,DATEN!$A$3:$D$10,2,FALSE)</f>
        <v>0</v>
      </c>
      <c r="AI73" s="63">
        <f>VLOOKUP('Bestellung Commande'!L55,DATEN!$A$3:$D$10,2,FALSE)</f>
        <v>0</v>
      </c>
      <c r="AJ73" s="63">
        <f>VLOOKUP('Bestellung Commande'!M55,DATEN!$A$3:$D$10,2,FALSE)</f>
        <v>0</v>
      </c>
      <c r="AK73" s="63">
        <f>VLOOKUP('Bestellung Commande'!N55,DATEN!$A$3:$D$10,2,FALSE)</f>
        <v>0</v>
      </c>
      <c r="AL73" s="62" t="s">
        <v>82</v>
      </c>
      <c r="AM73" s="62" t="s">
        <v>83</v>
      </c>
      <c r="AN73" s="62" t="s">
        <v>84</v>
      </c>
      <c r="AO73" s="62" t="s">
        <v>85</v>
      </c>
      <c r="AP73" s="62" t="s">
        <v>86</v>
      </c>
      <c r="AQ73" s="62" t="str">
        <f>IF(ISNA('Pos15'!$F$31),"",'Pos15'!$F$31)</f>
        <v/>
      </c>
      <c r="AR73" s="93"/>
      <c r="AS73" s="81" t="str">
        <f>$T$18</f>
        <v>Rüsten</v>
      </c>
      <c r="AT73" s="62" t="str">
        <f>$T$19</f>
        <v>Sägen</v>
      </c>
      <c r="AU73" s="62" t="str">
        <f>$T$20</f>
        <v>Bohren</v>
      </c>
      <c r="AV73" s="62" t="str">
        <f>$T$21</f>
        <v>Kleben</v>
      </c>
      <c r="AW73" s="62" t="str">
        <f>$T$22</f>
        <v>Montage</v>
      </c>
      <c r="AX73" s="62" t="str">
        <f>$T$23</f>
        <v>Spedi</v>
      </c>
      <c r="AY73" s="62" t="str">
        <f>$T$24</f>
        <v>Steg</v>
      </c>
      <c r="AZ73" s="62" t="str">
        <f>$T$25</f>
        <v>Job 8</v>
      </c>
      <c r="BA73" s="62" t="str">
        <f>$T$26</f>
        <v>Job 9</v>
      </c>
      <c r="BB73" s="62" t="str">
        <f>$T$27</f>
        <v>Job 10</v>
      </c>
      <c r="BC73" s="62" t="str">
        <f>$T$28</f>
        <v>Job 11</v>
      </c>
      <c r="BD73" s="62" t="str">
        <f>$T$29</f>
        <v>Job 12</v>
      </c>
      <c r="BE73" s="66" t="str">
        <f>$T$30</f>
        <v>Job 13</v>
      </c>
      <c r="BF73" s="93"/>
      <c r="BM73" s="208"/>
      <c r="BO73" t="s">
        <v>77</v>
      </c>
      <c r="BQ73" s="9"/>
      <c r="BR73" s="9"/>
      <c r="BS73" s="9"/>
      <c r="BT73" s="9"/>
      <c r="BU73" s="9"/>
      <c r="BV73" s="90"/>
    </row>
    <row r="74" spans="28:74" ht="15" x14ac:dyDescent="0.25">
      <c r="AC74" s="203"/>
      <c r="AD74" s="77"/>
      <c r="AE74" s="70">
        <f>IF(ISERROR(SUM(AF74:BF74)),0,SUM(AF74:BF74))</f>
        <v>0</v>
      </c>
      <c r="AF74" s="71">
        <f>IF(ISERROR(VLOOKUP(AF73,DATEN!$T$3:$AA$30,4,FALSE)),0,VLOOKUP(AF73,DATEN!$T$3:$AA$30,4,FALSE)*(AF75))</f>
        <v>0</v>
      </c>
      <c r="AG74" s="71">
        <f>IF(ISERROR(VLOOKUP(AG73,DATEN!$T$3:$AA$30,4,FALSE)),0,VLOOKUP(AG73,DATEN!$T$3:$AA$30,4,FALSE)*(AG75))</f>
        <v>0</v>
      </c>
      <c r="AH74" s="71">
        <f>IF(ISERROR(VLOOKUP(AH73,DATEN!$T$3:$AA$30,4,FALSE)),0,VLOOKUP(AH73,DATEN!$T$3:$AA$30,4,FALSE)*(AH75))</f>
        <v>0</v>
      </c>
      <c r="AI74" s="71">
        <f>IF(ISERROR(VLOOKUP(AI73,DATEN!$T$3:$AA$30,4,FALSE)),0,VLOOKUP(AI73,DATEN!$T$3:$AA$30,4,FALSE)*(AI75))</f>
        <v>0</v>
      </c>
      <c r="AJ74" s="71">
        <f>IF(ISERROR(VLOOKUP(AJ73,DATEN!$T$3:$AA$30,4,FALSE)),0,VLOOKUP(AJ73,DATEN!$T$3:$AA$30,4,FALSE)*(AJ75))</f>
        <v>0</v>
      </c>
      <c r="AK74" s="71">
        <f>IF(ISERROR(VLOOKUP(AK73,DATEN!$T$3:$AA$30,4,FALSE)),0,VLOOKUP(AK73,DATEN!$T$3:$AA$30,4,FALSE)*(AK75))</f>
        <v>0</v>
      </c>
      <c r="AL74" s="71">
        <f>IF(ISERROR(VLOOKUP(AL73,DATEN!$T$3:$AA$30,4,FALSE)),0,VLOOKUP(AL73,DATEN!$T$3:$AA$30,4,FALSE)*(AL75))</f>
        <v>0</v>
      </c>
      <c r="AM74" s="71">
        <f>IF(ISERROR(VLOOKUP(AM73,DATEN!$T$3:$AC$30,4,FALSE)),0,VLOOKUP(AM73,DATEN!$T$3:$AC$30,4,FALSE)*(AM75))</f>
        <v>0.32640000000000002</v>
      </c>
      <c r="AN74" s="71">
        <f>IF(ISERROR(VLOOKUP(AN73,DATEN!$T$3:$AC$30,4,FALSE)),0,VLOOKUP(AN73,DATEN!$T$3:$AC$30,4,FALSE)*(AN75))</f>
        <v>0</v>
      </c>
      <c r="AO74" s="71">
        <f>IF(ISERROR(VLOOKUP(AO73,DATEN!$T$3:$AC$30,4,FALSE)),0,VLOOKUP(AO73,DATEN!$T$3:$AC$30,4,FALSE)*(AO75))</f>
        <v>4.0104000000000006</v>
      </c>
      <c r="AP74" s="71">
        <f>IF(ISERROR(VLOOKUP(AP73,DATEN!$T$3:$AC$30,4,FALSE)),0,VLOOKUP(AP73,DATEN!$T$3:$AC$30,4,FALSE)*(AP75))</f>
        <v>59.22</v>
      </c>
      <c r="AQ74" s="71">
        <f>IF(ISNA(VLOOKUP(AQ73,$M$7:$R$14,6,FALSE)),0,VLOOKUP(AQ73,$M$7:$R$14,6,FALSE))</f>
        <v>0</v>
      </c>
      <c r="AR74" s="71">
        <f>IF(ISNA(VLOOKUP(AR73,$M$7:$R$14,6,FALSE)),0,VLOOKUP(AR73,$M$7:$R$14,6,FALSE))</f>
        <v>0</v>
      </c>
      <c r="AS74" s="82" t="e">
        <f>(VLOOKUP(AS73,$T$2:$AA$30,3,FALSE)/$AD73)+(VLOOKUP(AS73,$T$2:$AA$30,4,FALSE))</f>
        <v>#DIV/0!</v>
      </c>
      <c r="AT74" s="71" t="e">
        <f t="shared" ref="AT74:BE74" si="59">(VLOOKUP(AT73,$T$2:$AA$30,3,FALSE)/$AD73)+(VLOOKUP(AT73,$T$2:$AA$30,4,FALSE))</f>
        <v>#DIV/0!</v>
      </c>
      <c r="AU74" s="71" t="e">
        <f t="shared" si="59"/>
        <v>#DIV/0!</v>
      </c>
      <c r="AV74" s="71" t="e">
        <f t="shared" si="59"/>
        <v>#DIV/0!</v>
      </c>
      <c r="AW74" s="71" t="e">
        <f t="shared" si="59"/>
        <v>#DIV/0!</v>
      </c>
      <c r="AX74" s="71" t="e">
        <f t="shared" si="59"/>
        <v>#DIV/0!</v>
      </c>
      <c r="AY74" s="71" t="e">
        <f t="shared" si="59"/>
        <v>#DIV/0!</v>
      </c>
      <c r="AZ74" s="71" t="e">
        <f t="shared" si="59"/>
        <v>#DIV/0!</v>
      </c>
      <c r="BA74" s="71" t="e">
        <f t="shared" si="59"/>
        <v>#DIV/0!</v>
      </c>
      <c r="BB74" s="71" t="e">
        <f t="shared" si="59"/>
        <v>#DIV/0!</v>
      </c>
      <c r="BC74" s="71" t="e">
        <f t="shared" si="59"/>
        <v>#DIV/0!</v>
      </c>
      <c r="BD74" s="71" t="e">
        <f t="shared" si="59"/>
        <v>#DIV/0!</v>
      </c>
      <c r="BE74" s="72" t="e">
        <f t="shared" si="59"/>
        <v>#DIV/0!</v>
      </c>
      <c r="BF74" s="94">
        <f>BV74</f>
        <v>0</v>
      </c>
      <c r="BM74" s="208"/>
      <c r="BN74" s="106">
        <f>AD73</f>
        <v>0</v>
      </c>
      <c r="BO74" s="70">
        <f>AF75</f>
        <v>0</v>
      </c>
      <c r="BP74" s="70">
        <f>COUNT('Bestellung Commande'!K55:N55)</f>
        <v>0</v>
      </c>
      <c r="BQ74" s="9">
        <f>BO74*BP74*$V$44*BN74</f>
        <v>0</v>
      </c>
      <c r="BR74" s="9">
        <f>BP74*$W$44*BN74</f>
        <v>0</v>
      </c>
      <c r="BS74" s="9"/>
      <c r="BT74" s="9"/>
      <c r="BU74" s="9"/>
      <c r="BV74" s="90">
        <f>SUM(BQ74:BU74)</f>
        <v>0</v>
      </c>
    </row>
    <row r="75" spans="28:74" ht="15" thickBot="1" x14ac:dyDescent="0.25">
      <c r="AC75" s="204"/>
      <c r="AD75" s="78"/>
      <c r="AE75" s="68" t="s">
        <v>107</v>
      </c>
      <c r="AF75" s="69">
        <f>'Bestellung Commande'!$F55/1000</f>
        <v>0</v>
      </c>
      <c r="AG75" s="69">
        <f>'Bestellung Commande'!$F55/1000</f>
        <v>0</v>
      </c>
      <c r="AH75" s="69">
        <f>'Bestellung Commande'!$F55/1000</f>
        <v>0</v>
      </c>
      <c r="AI75" s="69">
        <f>'Bestellung Commande'!$F55/1000</f>
        <v>0</v>
      </c>
      <c r="AJ75" s="69">
        <f>'Bestellung Commande'!$F55/1000</f>
        <v>0</v>
      </c>
      <c r="AK75" s="69">
        <f>'Bestellung Commande'!$F55/1000</f>
        <v>0</v>
      </c>
      <c r="AL75" s="69">
        <f>'Bestellung Commande'!$F55/1000</f>
        <v>0</v>
      </c>
      <c r="AM75" s="64">
        <v>2</v>
      </c>
      <c r="AN75" s="64">
        <v>0</v>
      </c>
      <c r="AO75" s="64">
        <v>2</v>
      </c>
      <c r="AP75" s="64">
        <v>2</v>
      </c>
      <c r="AQ75" s="80">
        <f>'Pos15'!$F$33</f>
        <v>0</v>
      </c>
      <c r="AR75" s="80">
        <f>'Pos15'!$G$33</f>
        <v>0</v>
      </c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/>
      <c r="BD75" s="79"/>
      <c r="BE75" s="83"/>
      <c r="BF75" s="93"/>
      <c r="BM75" s="209"/>
      <c r="BN75" s="78"/>
      <c r="BO75" s="68" t="s">
        <v>107</v>
      </c>
      <c r="BP75" s="68"/>
      <c r="BQ75" s="68"/>
      <c r="BR75" s="68"/>
      <c r="BS75" s="68"/>
      <c r="BT75" s="68"/>
      <c r="BU75" s="68"/>
      <c r="BV75" s="91"/>
    </row>
    <row r="76" spans="28:74" ht="15" thickBot="1" x14ac:dyDescent="0.25"/>
    <row r="77" spans="28:74" x14ac:dyDescent="0.2">
      <c r="AC77" s="202">
        <f>'Bestellung Commande'!A57</f>
        <v>16</v>
      </c>
      <c r="AD77" s="76" t="s">
        <v>178</v>
      </c>
      <c r="AE77" s="67"/>
      <c r="AF77" s="61" t="str">
        <f>VLOOKUP(AF78,DATEN!$T$2:$AA$30,2,FALSE)</f>
        <v>Aluprofil</v>
      </c>
      <c r="AG77" s="61" t="str">
        <f>VLOOKUP(AG78,DATEN!$T$2:$AA$30,2,FALSE)</f>
        <v>KS-Trittschwelle</v>
      </c>
      <c r="AH77" s="61" t="s">
        <v>69</v>
      </c>
      <c r="AI77" s="61" t="s">
        <v>70</v>
      </c>
      <c r="AJ77" s="61" t="s">
        <v>71</v>
      </c>
      <c r="AK77" s="61" t="s">
        <v>72</v>
      </c>
      <c r="AL77" s="61" t="str">
        <f>VLOOKUP(AL78,DATEN!$T$2:$AA$30,2,FALSE)</f>
        <v>Anschlussdichtung</v>
      </c>
      <c r="AM77" s="61" t="str">
        <f>VLOOKUP(AM78,DATEN!$T$2:$AA$30,2,FALSE)</f>
        <v>Linsenschaube 4.8x28</v>
      </c>
      <c r="AN77" s="61" t="str">
        <f>VLOOKUP(AN78,DATEN!$T$2:$AA$30,2,FALSE)</f>
        <v>KS-Kupplungselemnt</v>
      </c>
      <c r="AO77" s="61" t="str">
        <f>VLOOKUP(AO78,DATEN!$T$2:$AA$30,2,FALSE)</f>
        <v>Dichtstück</v>
      </c>
      <c r="AP77" s="61" t="str">
        <f>VLOOKUP(AP78,DATEN!$T$2:$AA$30,2,FALSE)</f>
        <v>Endstück mit Entwässerung</v>
      </c>
      <c r="AQ77" s="61" t="s">
        <v>199</v>
      </c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5"/>
      <c r="BF77" s="17"/>
      <c r="BM77" s="207">
        <f>AC77</f>
        <v>16</v>
      </c>
      <c r="BN77" s="76" t="s">
        <v>178</v>
      </c>
      <c r="BO77" s="67" t="s">
        <v>13</v>
      </c>
      <c r="BP77" s="67" t="s">
        <v>23</v>
      </c>
      <c r="BQ77" s="67" t="s">
        <v>193</v>
      </c>
      <c r="BR77" s="67" t="s">
        <v>194</v>
      </c>
      <c r="BS77" s="67"/>
      <c r="BT77" s="67"/>
      <c r="BU77" s="67"/>
      <c r="BV77" s="95" t="s">
        <v>8</v>
      </c>
    </row>
    <row r="78" spans="28:74" x14ac:dyDescent="0.2">
      <c r="AB78">
        <f>AB73+$AB$2</f>
        <v>106</v>
      </c>
      <c r="AC78" s="203"/>
      <c r="AD78" s="77">
        <f>'Bestellung Commande'!E57</f>
        <v>0</v>
      </c>
      <c r="AE78" s="9" t="s">
        <v>77</v>
      </c>
      <c r="AF78" s="62" t="s">
        <v>12</v>
      </c>
      <c r="AG78" s="62" t="s">
        <v>15</v>
      </c>
      <c r="AH78" s="63">
        <f>VLOOKUP('Bestellung Commande'!K57,DATEN!$A$3:$D$10,2,FALSE)</f>
        <v>0</v>
      </c>
      <c r="AI78" s="63">
        <f>VLOOKUP('Bestellung Commande'!L57,DATEN!$A$3:$D$10,2,FALSE)</f>
        <v>0</v>
      </c>
      <c r="AJ78" s="63">
        <f>VLOOKUP('Bestellung Commande'!M57,DATEN!$A$3:$D$10,2,FALSE)</f>
        <v>0</v>
      </c>
      <c r="AK78" s="63">
        <f>VLOOKUP('Bestellung Commande'!N57,DATEN!$A$3:$D$10,2,FALSE)</f>
        <v>0</v>
      </c>
      <c r="AL78" s="62" t="s">
        <v>82</v>
      </c>
      <c r="AM78" s="62" t="s">
        <v>83</v>
      </c>
      <c r="AN78" s="62" t="s">
        <v>84</v>
      </c>
      <c r="AO78" s="62" t="s">
        <v>85</v>
      </c>
      <c r="AP78" s="62" t="s">
        <v>86</v>
      </c>
      <c r="AQ78" s="62" t="str">
        <f>IF(ISNA('Pos16'!$F$31),"",'Pos16'!$F$31)</f>
        <v/>
      </c>
      <c r="AR78" s="93"/>
      <c r="AS78" s="81" t="str">
        <f>$T$18</f>
        <v>Rüsten</v>
      </c>
      <c r="AT78" s="62" t="str">
        <f>$T$19</f>
        <v>Sägen</v>
      </c>
      <c r="AU78" s="62" t="str">
        <f>$T$20</f>
        <v>Bohren</v>
      </c>
      <c r="AV78" s="62" t="str">
        <f>$T$21</f>
        <v>Kleben</v>
      </c>
      <c r="AW78" s="62" t="str">
        <f>$T$22</f>
        <v>Montage</v>
      </c>
      <c r="AX78" s="62" t="str">
        <f>$T$23</f>
        <v>Spedi</v>
      </c>
      <c r="AY78" s="62" t="str">
        <f>$T$24</f>
        <v>Steg</v>
      </c>
      <c r="AZ78" s="62" t="str">
        <f>$T$25</f>
        <v>Job 8</v>
      </c>
      <c r="BA78" s="62" t="str">
        <f>$T$26</f>
        <v>Job 9</v>
      </c>
      <c r="BB78" s="62" t="str">
        <f>$T$27</f>
        <v>Job 10</v>
      </c>
      <c r="BC78" s="62" t="str">
        <f>$T$28</f>
        <v>Job 11</v>
      </c>
      <c r="BD78" s="62" t="str">
        <f>$T$29</f>
        <v>Job 12</v>
      </c>
      <c r="BE78" s="66" t="str">
        <f>$T$30</f>
        <v>Job 13</v>
      </c>
      <c r="BF78" s="93"/>
      <c r="BM78" s="208"/>
      <c r="BO78" t="s">
        <v>77</v>
      </c>
      <c r="BQ78" s="9"/>
      <c r="BR78" s="9"/>
      <c r="BS78" s="9"/>
      <c r="BT78" s="9"/>
      <c r="BU78" s="9"/>
      <c r="BV78" s="90"/>
    </row>
    <row r="79" spans="28:74" ht="15" x14ac:dyDescent="0.25">
      <c r="AC79" s="203"/>
      <c r="AD79" s="77"/>
      <c r="AE79" s="70">
        <f>IF(ISERROR(SUM(AF79:BF79)),0,SUM(AF79:BF79))</f>
        <v>0</v>
      </c>
      <c r="AF79" s="71">
        <f>IF(ISERROR(VLOOKUP(AF78,DATEN!$T$3:$AA$30,4,FALSE)),0,VLOOKUP(AF78,DATEN!$T$3:$AA$30,4,FALSE)*(AF80))</f>
        <v>0</v>
      </c>
      <c r="AG79" s="71">
        <f>IF(ISERROR(VLOOKUP(AG78,DATEN!$T$3:$AA$30,4,FALSE)),0,VLOOKUP(AG78,DATEN!$T$3:$AA$30,4,FALSE)*(AG80))</f>
        <v>0</v>
      </c>
      <c r="AH79" s="71">
        <f>IF(ISERROR(VLOOKUP(AH78,DATEN!$T$3:$AA$30,4,FALSE)),0,VLOOKUP(AH78,DATEN!$T$3:$AA$30,4,FALSE)*(AH80))</f>
        <v>0</v>
      </c>
      <c r="AI79" s="71">
        <f>IF(ISERROR(VLOOKUP(AI78,DATEN!$T$3:$AA$30,4,FALSE)),0,VLOOKUP(AI78,DATEN!$T$3:$AA$30,4,FALSE)*(AI80))</f>
        <v>0</v>
      </c>
      <c r="AJ79" s="71">
        <f>IF(ISERROR(VLOOKUP(AJ78,DATEN!$T$3:$AA$30,4,FALSE)),0,VLOOKUP(AJ78,DATEN!$T$3:$AA$30,4,FALSE)*(AJ80))</f>
        <v>0</v>
      </c>
      <c r="AK79" s="71">
        <f>IF(ISERROR(VLOOKUP(AK78,DATEN!$T$3:$AA$30,4,FALSE)),0,VLOOKUP(AK78,DATEN!$T$3:$AA$30,4,FALSE)*(AK80))</f>
        <v>0</v>
      </c>
      <c r="AL79" s="71">
        <f>IF(ISERROR(VLOOKUP(AL78,DATEN!$T$3:$AA$30,4,FALSE)),0,VLOOKUP(AL78,DATEN!$T$3:$AA$30,4,FALSE)*(AL80))</f>
        <v>0</v>
      </c>
      <c r="AM79" s="71">
        <f>IF(ISERROR(VLOOKUP(AM78,DATEN!$T$3:$AC$30,4,FALSE)),0,VLOOKUP(AM78,DATEN!$T$3:$AC$30,4,FALSE)*(AM80))</f>
        <v>0.32640000000000002</v>
      </c>
      <c r="AN79" s="71">
        <f>IF(ISERROR(VLOOKUP(AN78,DATEN!$T$3:$AC$30,4,FALSE)),0,VLOOKUP(AN78,DATEN!$T$3:$AC$30,4,FALSE)*(AN80))</f>
        <v>0</v>
      </c>
      <c r="AO79" s="71">
        <f>IF(ISERROR(VLOOKUP(AO78,DATEN!$T$3:$AC$30,4,FALSE)),0,VLOOKUP(AO78,DATEN!$T$3:$AC$30,4,FALSE)*(AO80))</f>
        <v>4.0104000000000006</v>
      </c>
      <c r="AP79" s="71">
        <f>IF(ISERROR(VLOOKUP(AP78,DATEN!$T$3:$AC$30,4,FALSE)),0,VLOOKUP(AP78,DATEN!$T$3:$AC$30,4,FALSE)*(AP80))</f>
        <v>59.22</v>
      </c>
      <c r="AQ79" s="71">
        <f>IF(ISNA(VLOOKUP(AQ78,$M$7:$R$14,6,FALSE)),0,VLOOKUP(AQ78,$M$7:$R$14,6,FALSE))</f>
        <v>0</v>
      </c>
      <c r="AR79" s="71">
        <f>IF(ISNA(VLOOKUP(AR78,$M$7:$R$14,6,FALSE)),0,VLOOKUP(AR78,$M$7:$R$14,6,FALSE))</f>
        <v>0</v>
      </c>
      <c r="AS79" s="82" t="e">
        <f>(VLOOKUP(AS78,$T$2:$AA$30,3,FALSE)/$AD78)+(VLOOKUP(AS78,$T$2:$AA$30,4,FALSE))</f>
        <v>#DIV/0!</v>
      </c>
      <c r="AT79" s="71" t="e">
        <f t="shared" ref="AT79:BE79" si="60">(VLOOKUP(AT78,$T$2:$AA$30,3,FALSE)/$AD78)+(VLOOKUP(AT78,$T$2:$AA$30,4,FALSE))</f>
        <v>#DIV/0!</v>
      </c>
      <c r="AU79" s="71" t="e">
        <f t="shared" si="60"/>
        <v>#DIV/0!</v>
      </c>
      <c r="AV79" s="71" t="e">
        <f t="shared" si="60"/>
        <v>#DIV/0!</v>
      </c>
      <c r="AW79" s="71" t="e">
        <f t="shared" si="60"/>
        <v>#DIV/0!</v>
      </c>
      <c r="AX79" s="71" t="e">
        <f t="shared" si="60"/>
        <v>#DIV/0!</v>
      </c>
      <c r="AY79" s="71" t="e">
        <f t="shared" si="60"/>
        <v>#DIV/0!</v>
      </c>
      <c r="AZ79" s="71" t="e">
        <f t="shared" si="60"/>
        <v>#DIV/0!</v>
      </c>
      <c r="BA79" s="71" t="e">
        <f t="shared" si="60"/>
        <v>#DIV/0!</v>
      </c>
      <c r="BB79" s="71" t="e">
        <f t="shared" si="60"/>
        <v>#DIV/0!</v>
      </c>
      <c r="BC79" s="71" t="e">
        <f t="shared" si="60"/>
        <v>#DIV/0!</v>
      </c>
      <c r="BD79" s="71" t="e">
        <f t="shared" si="60"/>
        <v>#DIV/0!</v>
      </c>
      <c r="BE79" s="72" t="e">
        <f t="shared" si="60"/>
        <v>#DIV/0!</v>
      </c>
      <c r="BF79" s="94">
        <f>BV79</f>
        <v>0</v>
      </c>
      <c r="BM79" s="208"/>
      <c r="BN79" s="106">
        <f>AD78</f>
        <v>0</v>
      </c>
      <c r="BO79" s="70">
        <f>AF80</f>
        <v>0</v>
      </c>
      <c r="BP79" s="70">
        <f>COUNT('Bestellung Commande'!K57:N57)</f>
        <v>0</v>
      </c>
      <c r="BQ79" s="9">
        <f>BO79*BP79*$V$44*BN79</f>
        <v>0</v>
      </c>
      <c r="BR79" s="9">
        <f>BP79*$W$44*BN79</f>
        <v>0</v>
      </c>
      <c r="BS79" s="9"/>
      <c r="BT79" s="9"/>
      <c r="BU79" s="9"/>
      <c r="BV79" s="90">
        <f>SUM(BQ79:BU79)</f>
        <v>0</v>
      </c>
    </row>
    <row r="80" spans="28:74" ht="15" thickBot="1" x14ac:dyDescent="0.25">
      <c r="AC80" s="204"/>
      <c r="AD80" s="78"/>
      <c r="AE80" s="68" t="s">
        <v>107</v>
      </c>
      <c r="AF80" s="69">
        <f>'Bestellung Commande'!$F57/1000</f>
        <v>0</v>
      </c>
      <c r="AG80" s="69">
        <f>'Bestellung Commande'!$F57/1000</f>
        <v>0</v>
      </c>
      <c r="AH80" s="69">
        <f>'Bestellung Commande'!$F57/1000</f>
        <v>0</v>
      </c>
      <c r="AI80" s="69">
        <f>'Bestellung Commande'!$F57/1000</f>
        <v>0</v>
      </c>
      <c r="AJ80" s="69">
        <f>'Bestellung Commande'!$F57/1000</f>
        <v>0</v>
      </c>
      <c r="AK80" s="69">
        <f>'Bestellung Commande'!$F57/1000</f>
        <v>0</v>
      </c>
      <c r="AL80" s="69">
        <f>'Bestellung Commande'!$F57/1000</f>
        <v>0</v>
      </c>
      <c r="AM80" s="64">
        <v>2</v>
      </c>
      <c r="AN80" s="64">
        <v>0</v>
      </c>
      <c r="AO80" s="64">
        <v>2</v>
      </c>
      <c r="AP80" s="64">
        <v>2</v>
      </c>
      <c r="AQ80" s="80">
        <f>'Pos16'!$F$33</f>
        <v>0</v>
      </c>
      <c r="AR80" s="80">
        <f>'Pos16'!$G$33</f>
        <v>0</v>
      </c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83"/>
      <c r="BF80" s="93"/>
      <c r="BM80" s="209"/>
      <c r="BN80" s="78"/>
      <c r="BO80" s="68" t="s">
        <v>107</v>
      </c>
      <c r="BP80" s="68"/>
      <c r="BQ80" s="68"/>
      <c r="BR80" s="68"/>
      <c r="BS80" s="68"/>
      <c r="BT80" s="68"/>
      <c r="BU80" s="68"/>
      <c r="BV80" s="91"/>
    </row>
    <row r="81" spans="28:74" ht="15" thickBot="1" x14ac:dyDescent="0.25"/>
    <row r="82" spans="28:74" x14ac:dyDescent="0.2">
      <c r="AC82" s="202">
        <f>'Bestellung Commande'!A59</f>
        <v>17</v>
      </c>
      <c r="AD82" s="76" t="s">
        <v>178</v>
      </c>
      <c r="AE82" s="67"/>
      <c r="AF82" s="61" t="str">
        <f>VLOOKUP(AF83,DATEN!$T$2:$AA$30,2,FALSE)</f>
        <v>Aluprofil</v>
      </c>
      <c r="AG82" s="61" t="str">
        <f>VLOOKUP(AG83,DATEN!$T$2:$AA$30,2,FALSE)</f>
        <v>KS-Trittschwelle</v>
      </c>
      <c r="AH82" s="61" t="s">
        <v>69</v>
      </c>
      <c r="AI82" s="61" t="s">
        <v>70</v>
      </c>
      <c r="AJ82" s="61" t="s">
        <v>71</v>
      </c>
      <c r="AK82" s="61" t="s">
        <v>72</v>
      </c>
      <c r="AL82" s="61" t="str">
        <f>VLOOKUP(AL83,DATEN!$T$2:$AA$30,2,FALSE)</f>
        <v>Anschlussdichtung</v>
      </c>
      <c r="AM82" s="61" t="str">
        <f>VLOOKUP(AM83,DATEN!$T$2:$AA$30,2,FALSE)</f>
        <v>Linsenschaube 4.8x28</v>
      </c>
      <c r="AN82" s="61" t="str">
        <f>VLOOKUP(AN83,DATEN!$T$2:$AA$30,2,FALSE)</f>
        <v>KS-Kupplungselemnt</v>
      </c>
      <c r="AO82" s="61" t="str">
        <f>VLOOKUP(AO83,DATEN!$T$2:$AA$30,2,FALSE)</f>
        <v>Dichtstück</v>
      </c>
      <c r="AP82" s="61" t="str">
        <f>VLOOKUP(AP83,DATEN!$T$2:$AA$30,2,FALSE)</f>
        <v>Endstück mit Entwässerung</v>
      </c>
      <c r="AQ82" s="61" t="s">
        <v>199</v>
      </c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5"/>
      <c r="BF82" s="17"/>
      <c r="BM82" s="207">
        <f>AC82</f>
        <v>17</v>
      </c>
      <c r="BN82" s="76" t="s">
        <v>178</v>
      </c>
      <c r="BO82" s="67" t="s">
        <v>13</v>
      </c>
      <c r="BP82" s="67" t="s">
        <v>23</v>
      </c>
      <c r="BQ82" s="67" t="s">
        <v>193</v>
      </c>
      <c r="BR82" s="67" t="s">
        <v>194</v>
      </c>
      <c r="BS82" s="67"/>
      <c r="BT82" s="67"/>
      <c r="BU82" s="67"/>
      <c r="BV82" s="95" t="s">
        <v>8</v>
      </c>
    </row>
    <row r="83" spans="28:74" x14ac:dyDescent="0.2">
      <c r="AB83">
        <f>AB78+$AB$2</f>
        <v>111</v>
      </c>
      <c r="AC83" s="203"/>
      <c r="AD83" s="77">
        <f>'Bestellung Commande'!E59</f>
        <v>0</v>
      </c>
      <c r="AE83" s="9" t="s">
        <v>77</v>
      </c>
      <c r="AF83" s="62" t="s">
        <v>12</v>
      </c>
      <c r="AG83" s="62" t="s">
        <v>15</v>
      </c>
      <c r="AH83" s="63">
        <f>VLOOKUP('Bestellung Commande'!K59,DATEN!$A$3:$D$10,2,FALSE)</f>
        <v>0</v>
      </c>
      <c r="AI83" s="63">
        <f>VLOOKUP('Bestellung Commande'!L59,DATEN!$A$3:$D$10,2,FALSE)</f>
        <v>0</v>
      </c>
      <c r="AJ83" s="63">
        <f>VLOOKUP('Bestellung Commande'!M59,DATEN!$A$3:$D$10,2,FALSE)</f>
        <v>0</v>
      </c>
      <c r="AK83" s="63">
        <f>VLOOKUP('Bestellung Commande'!N59,DATEN!$A$3:$D$10,2,FALSE)</f>
        <v>0</v>
      </c>
      <c r="AL83" s="62" t="s">
        <v>82</v>
      </c>
      <c r="AM83" s="62" t="s">
        <v>83</v>
      </c>
      <c r="AN83" s="62" t="s">
        <v>84</v>
      </c>
      <c r="AO83" s="62" t="s">
        <v>85</v>
      </c>
      <c r="AP83" s="62" t="s">
        <v>86</v>
      </c>
      <c r="AQ83" s="62" t="str">
        <f>IF(ISNA('Pos17'!$F$31),"",'Pos17'!$F$31)</f>
        <v/>
      </c>
      <c r="AR83" s="93"/>
      <c r="AS83" s="81" t="str">
        <f>$T$18</f>
        <v>Rüsten</v>
      </c>
      <c r="AT83" s="62" t="str">
        <f>$T$19</f>
        <v>Sägen</v>
      </c>
      <c r="AU83" s="62" t="str">
        <f>$T$20</f>
        <v>Bohren</v>
      </c>
      <c r="AV83" s="62" t="str">
        <f>$T$21</f>
        <v>Kleben</v>
      </c>
      <c r="AW83" s="62" t="str">
        <f>$T$22</f>
        <v>Montage</v>
      </c>
      <c r="AX83" s="62" t="str">
        <f>$T$23</f>
        <v>Spedi</v>
      </c>
      <c r="AY83" s="62" t="str">
        <f>$T$24</f>
        <v>Steg</v>
      </c>
      <c r="AZ83" s="62" t="str">
        <f>$T$25</f>
        <v>Job 8</v>
      </c>
      <c r="BA83" s="62" t="str">
        <f>$T$26</f>
        <v>Job 9</v>
      </c>
      <c r="BB83" s="62" t="str">
        <f>$T$27</f>
        <v>Job 10</v>
      </c>
      <c r="BC83" s="62" t="str">
        <f>$T$28</f>
        <v>Job 11</v>
      </c>
      <c r="BD83" s="62" t="str">
        <f>$T$29</f>
        <v>Job 12</v>
      </c>
      <c r="BE83" s="66" t="str">
        <f>$T$30</f>
        <v>Job 13</v>
      </c>
      <c r="BF83" s="93"/>
      <c r="BM83" s="208"/>
      <c r="BO83" t="s">
        <v>77</v>
      </c>
      <c r="BQ83" s="9"/>
      <c r="BR83" s="9"/>
      <c r="BS83" s="9"/>
      <c r="BT83" s="9"/>
      <c r="BU83" s="9"/>
      <c r="BV83" s="90"/>
    </row>
    <row r="84" spans="28:74" ht="15" x14ac:dyDescent="0.25">
      <c r="AC84" s="203"/>
      <c r="AD84" s="77"/>
      <c r="AE84" s="70">
        <f>IF(ISERROR(SUM(AF84:BF84)),0,SUM(AF84:BF84))</f>
        <v>0</v>
      </c>
      <c r="AF84" s="71">
        <f>IF(ISERROR(VLOOKUP(AF83,DATEN!$T$3:$AA$30,4,FALSE)),0,VLOOKUP(AF83,DATEN!$T$3:$AA$30,4,FALSE)*(AF85))</f>
        <v>0</v>
      </c>
      <c r="AG84" s="71">
        <f>IF(ISERROR(VLOOKUP(AG83,DATEN!$T$3:$AA$30,4,FALSE)),0,VLOOKUP(AG83,DATEN!$T$3:$AA$30,4,FALSE)*(AG85))</f>
        <v>0</v>
      </c>
      <c r="AH84" s="71">
        <f>IF(ISERROR(VLOOKUP(AH83,DATEN!$T$3:$AA$30,4,FALSE)),0,VLOOKUP(AH83,DATEN!$T$3:$AA$30,4,FALSE)*(AH85))</f>
        <v>0</v>
      </c>
      <c r="AI84" s="71">
        <f>IF(ISERROR(VLOOKUP(AI83,DATEN!$T$3:$AA$30,4,FALSE)),0,VLOOKUP(AI83,DATEN!$T$3:$AA$30,4,FALSE)*(AI85))</f>
        <v>0</v>
      </c>
      <c r="AJ84" s="71">
        <f>IF(ISERROR(VLOOKUP(AJ83,DATEN!$T$3:$AA$30,4,FALSE)),0,VLOOKUP(AJ83,DATEN!$T$3:$AA$30,4,FALSE)*(AJ85))</f>
        <v>0</v>
      </c>
      <c r="AK84" s="71">
        <f>IF(ISERROR(VLOOKUP(AK83,DATEN!$T$3:$AA$30,4,FALSE)),0,VLOOKUP(AK83,DATEN!$T$3:$AA$30,4,FALSE)*(AK85))</f>
        <v>0</v>
      </c>
      <c r="AL84" s="71">
        <f>IF(ISERROR(VLOOKUP(AL83,DATEN!$T$3:$AA$30,4,FALSE)),0,VLOOKUP(AL83,DATEN!$T$3:$AA$30,4,FALSE)*(AL85))</f>
        <v>0</v>
      </c>
      <c r="AM84" s="71">
        <f>IF(ISERROR(VLOOKUP(AM83,DATEN!$T$3:$AC$30,4,FALSE)),0,VLOOKUP(AM83,DATEN!$T$3:$AC$30,4,FALSE)*(AM85))</f>
        <v>0.32640000000000002</v>
      </c>
      <c r="AN84" s="71">
        <f>IF(ISERROR(VLOOKUP(AN83,DATEN!$T$3:$AC$30,4,FALSE)),0,VLOOKUP(AN83,DATEN!$T$3:$AC$30,4,FALSE)*(AN85))</f>
        <v>0</v>
      </c>
      <c r="AO84" s="71">
        <f>IF(ISERROR(VLOOKUP(AO83,DATEN!$T$3:$AC$30,4,FALSE)),0,VLOOKUP(AO83,DATEN!$T$3:$AC$30,4,FALSE)*(AO85))</f>
        <v>4.0104000000000006</v>
      </c>
      <c r="AP84" s="71">
        <f>IF(ISERROR(VLOOKUP(AP83,DATEN!$T$3:$AC$30,4,FALSE)),0,VLOOKUP(AP83,DATEN!$T$3:$AC$30,4,FALSE)*(AP85))</f>
        <v>59.22</v>
      </c>
      <c r="AQ84" s="71">
        <f>IF(ISNA(VLOOKUP(AQ83,$M$7:$R$14,6,FALSE)),0,VLOOKUP(AQ83,$M$7:$R$14,6,FALSE))</f>
        <v>0</v>
      </c>
      <c r="AR84" s="71">
        <f>IF(ISNA(VLOOKUP(AR83,$M$7:$R$14,6,FALSE)),0,VLOOKUP(AR83,$M$7:$R$14,6,FALSE))</f>
        <v>0</v>
      </c>
      <c r="AS84" s="82" t="e">
        <f>(VLOOKUP(AS83,$T$2:$AA$30,3,FALSE)/$AD83)+(VLOOKUP(AS83,$T$2:$AA$30,4,FALSE))</f>
        <v>#DIV/0!</v>
      </c>
      <c r="AT84" s="71" t="e">
        <f t="shared" ref="AT84:BE84" si="61">(VLOOKUP(AT83,$T$2:$AA$30,3,FALSE)/$AD83)+(VLOOKUP(AT83,$T$2:$AA$30,4,FALSE))</f>
        <v>#DIV/0!</v>
      </c>
      <c r="AU84" s="71" t="e">
        <f t="shared" si="61"/>
        <v>#DIV/0!</v>
      </c>
      <c r="AV84" s="71" t="e">
        <f t="shared" si="61"/>
        <v>#DIV/0!</v>
      </c>
      <c r="AW84" s="71" t="e">
        <f t="shared" si="61"/>
        <v>#DIV/0!</v>
      </c>
      <c r="AX84" s="71" t="e">
        <f t="shared" si="61"/>
        <v>#DIV/0!</v>
      </c>
      <c r="AY84" s="71" t="e">
        <f t="shared" si="61"/>
        <v>#DIV/0!</v>
      </c>
      <c r="AZ84" s="71" t="e">
        <f t="shared" si="61"/>
        <v>#DIV/0!</v>
      </c>
      <c r="BA84" s="71" t="e">
        <f t="shared" si="61"/>
        <v>#DIV/0!</v>
      </c>
      <c r="BB84" s="71" t="e">
        <f t="shared" si="61"/>
        <v>#DIV/0!</v>
      </c>
      <c r="BC84" s="71" t="e">
        <f t="shared" si="61"/>
        <v>#DIV/0!</v>
      </c>
      <c r="BD84" s="71" t="e">
        <f t="shared" si="61"/>
        <v>#DIV/0!</v>
      </c>
      <c r="BE84" s="72" t="e">
        <f t="shared" si="61"/>
        <v>#DIV/0!</v>
      </c>
      <c r="BF84" s="94">
        <f>BV84</f>
        <v>0</v>
      </c>
      <c r="BM84" s="208"/>
      <c r="BN84" s="106">
        <f>AD83</f>
        <v>0</v>
      </c>
      <c r="BO84" s="70">
        <f>AF85</f>
        <v>0</v>
      </c>
      <c r="BP84" s="70">
        <f>COUNT('Bestellung Commande'!K59:N59)</f>
        <v>0</v>
      </c>
      <c r="BQ84" s="9">
        <f>BO84*BP84*$V$44*BN84</f>
        <v>0</v>
      </c>
      <c r="BR84" s="9">
        <f>BP84*$W$44*BN84</f>
        <v>0</v>
      </c>
      <c r="BS84" s="9"/>
      <c r="BT84" s="9"/>
      <c r="BU84" s="9"/>
      <c r="BV84" s="90">
        <f>SUM(BQ84:BU84)</f>
        <v>0</v>
      </c>
    </row>
    <row r="85" spans="28:74" ht="15" thickBot="1" x14ac:dyDescent="0.25">
      <c r="AC85" s="204"/>
      <c r="AD85" s="78"/>
      <c r="AE85" s="68" t="s">
        <v>107</v>
      </c>
      <c r="AF85" s="69">
        <f>'Bestellung Commande'!$F59/1000</f>
        <v>0</v>
      </c>
      <c r="AG85" s="69">
        <f>'Bestellung Commande'!$F59/1000</f>
        <v>0</v>
      </c>
      <c r="AH85" s="69">
        <f>'Bestellung Commande'!$F59/1000</f>
        <v>0</v>
      </c>
      <c r="AI85" s="69">
        <f>'Bestellung Commande'!$F59/1000</f>
        <v>0</v>
      </c>
      <c r="AJ85" s="69">
        <f>'Bestellung Commande'!$F59/1000</f>
        <v>0</v>
      </c>
      <c r="AK85" s="69">
        <f>'Bestellung Commande'!$F59/1000</f>
        <v>0</v>
      </c>
      <c r="AL85" s="69">
        <f>'Bestellung Commande'!$F59/1000</f>
        <v>0</v>
      </c>
      <c r="AM85" s="64">
        <v>2</v>
      </c>
      <c r="AN85" s="64">
        <v>0</v>
      </c>
      <c r="AO85" s="64">
        <v>2</v>
      </c>
      <c r="AP85" s="64">
        <v>2</v>
      </c>
      <c r="AQ85" s="80">
        <f>'Pos17'!$F$33</f>
        <v>0</v>
      </c>
      <c r="AR85" s="80">
        <f>'Pos17'!$G$33</f>
        <v>0</v>
      </c>
      <c r="AS85" s="79"/>
      <c r="AT85" s="79"/>
      <c r="AU85" s="79"/>
      <c r="AV85" s="79"/>
      <c r="AW85" s="79"/>
      <c r="AX85" s="79"/>
      <c r="AY85" s="79"/>
      <c r="AZ85" s="79"/>
      <c r="BA85" s="79"/>
      <c r="BB85" s="79"/>
      <c r="BC85" s="79"/>
      <c r="BD85" s="79"/>
      <c r="BE85" s="83"/>
      <c r="BF85" s="93"/>
      <c r="BM85" s="209"/>
      <c r="BN85" s="78"/>
      <c r="BO85" s="68" t="s">
        <v>107</v>
      </c>
      <c r="BP85" s="68"/>
      <c r="BQ85" s="68"/>
      <c r="BR85" s="68"/>
      <c r="BS85" s="68"/>
      <c r="BT85" s="68"/>
      <c r="BU85" s="68"/>
      <c r="BV85" s="91"/>
    </row>
    <row r="86" spans="28:74" ht="15" thickBot="1" x14ac:dyDescent="0.25"/>
    <row r="87" spans="28:74" x14ac:dyDescent="0.2">
      <c r="AC87" s="202">
        <f>'Bestellung Commande'!A61</f>
        <v>18</v>
      </c>
      <c r="AD87" s="76" t="s">
        <v>178</v>
      </c>
      <c r="AE87" s="67"/>
      <c r="AF87" s="61" t="str">
        <f>VLOOKUP(AF88,DATEN!$T$2:$AA$30,2,FALSE)</f>
        <v>Aluprofil</v>
      </c>
      <c r="AG87" s="61" t="str">
        <f>VLOOKUP(AG88,DATEN!$T$2:$AA$30,2,FALSE)</f>
        <v>KS-Trittschwelle</v>
      </c>
      <c r="AH87" s="61" t="s">
        <v>69</v>
      </c>
      <c r="AI87" s="61" t="s">
        <v>70</v>
      </c>
      <c r="AJ87" s="61" t="s">
        <v>71</v>
      </c>
      <c r="AK87" s="61" t="s">
        <v>72</v>
      </c>
      <c r="AL87" s="61" t="str">
        <f>VLOOKUP(AL88,DATEN!$T$2:$AA$30,2,FALSE)</f>
        <v>Anschlussdichtung</v>
      </c>
      <c r="AM87" s="61" t="str">
        <f>VLOOKUP(AM88,DATEN!$T$2:$AA$30,2,FALSE)</f>
        <v>Linsenschaube 4.8x28</v>
      </c>
      <c r="AN87" s="61" t="str">
        <f>VLOOKUP(AN88,DATEN!$T$2:$AA$30,2,FALSE)</f>
        <v>KS-Kupplungselemnt</v>
      </c>
      <c r="AO87" s="61" t="str">
        <f>VLOOKUP(AO88,DATEN!$T$2:$AA$30,2,FALSE)</f>
        <v>Dichtstück</v>
      </c>
      <c r="AP87" s="61" t="str">
        <f>VLOOKUP(AP88,DATEN!$T$2:$AA$30,2,FALSE)</f>
        <v>Endstück mit Entwässerung</v>
      </c>
      <c r="AQ87" s="61" t="s">
        <v>199</v>
      </c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5"/>
      <c r="BF87" s="17"/>
      <c r="BM87" s="207">
        <f>AC87</f>
        <v>18</v>
      </c>
      <c r="BN87" s="76" t="s">
        <v>178</v>
      </c>
      <c r="BO87" s="67" t="s">
        <v>13</v>
      </c>
      <c r="BP87" s="67" t="s">
        <v>23</v>
      </c>
      <c r="BQ87" s="67" t="s">
        <v>193</v>
      </c>
      <c r="BR87" s="67" t="s">
        <v>194</v>
      </c>
      <c r="BS87" s="67"/>
      <c r="BT87" s="67"/>
      <c r="BU87" s="67"/>
      <c r="BV87" s="95" t="s">
        <v>8</v>
      </c>
    </row>
    <row r="88" spans="28:74" x14ac:dyDescent="0.2">
      <c r="AB88">
        <f>AB83+$AB$2</f>
        <v>116</v>
      </c>
      <c r="AC88" s="203"/>
      <c r="AD88" s="77">
        <f>'Bestellung Commande'!E61</f>
        <v>0</v>
      </c>
      <c r="AE88" s="9" t="s">
        <v>77</v>
      </c>
      <c r="AF88" s="62" t="s">
        <v>12</v>
      </c>
      <c r="AG88" s="62" t="s">
        <v>15</v>
      </c>
      <c r="AH88" s="63">
        <f>VLOOKUP('Bestellung Commande'!K61,DATEN!$A$3:$D$10,2,FALSE)</f>
        <v>0</v>
      </c>
      <c r="AI88" s="63">
        <f>VLOOKUP('Bestellung Commande'!L61,DATEN!$A$3:$D$10,2,FALSE)</f>
        <v>0</v>
      </c>
      <c r="AJ88" s="63">
        <f>VLOOKUP('Bestellung Commande'!M61,DATEN!$A$3:$D$10,2,FALSE)</f>
        <v>0</v>
      </c>
      <c r="AK88" s="63">
        <f>VLOOKUP('Bestellung Commande'!N61,DATEN!$A$3:$D$10,2,FALSE)</f>
        <v>0</v>
      </c>
      <c r="AL88" s="62" t="s">
        <v>82</v>
      </c>
      <c r="AM88" s="62" t="s">
        <v>83</v>
      </c>
      <c r="AN88" s="62" t="s">
        <v>84</v>
      </c>
      <c r="AO88" s="62" t="s">
        <v>85</v>
      </c>
      <c r="AP88" s="62" t="s">
        <v>86</v>
      </c>
      <c r="AQ88" s="62" t="str">
        <f>IF(ISNA('Pos18'!$F$31),"",'Pos18'!$F$31)</f>
        <v/>
      </c>
      <c r="AR88" s="93"/>
      <c r="AS88" s="81" t="str">
        <f>$T$18</f>
        <v>Rüsten</v>
      </c>
      <c r="AT88" s="62" t="str">
        <f>$T$19</f>
        <v>Sägen</v>
      </c>
      <c r="AU88" s="62" t="str">
        <f>$T$20</f>
        <v>Bohren</v>
      </c>
      <c r="AV88" s="62" t="str">
        <f>$T$21</f>
        <v>Kleben</v>
      </c>
      <c r="AW88" s="62" t="str">
        <f>$T$22</f>
        <v>Montage</v>
      </c>
      <c r="AX88" s="62" t="str">
        <f>$T$23</f>
        <v>Spedi</v>
      </c>
      <c r="AY88" s="62" t="str">
        <f>$T$24</f>
        <v>Steg</v>
      </c>
      <c r="AZ88" s="62" t="str">
        <f>$T$25</f>
        <v>Job 8</v>
      </c>
      <c r="BA88" s="62" t="str">
        <f>$T$26</f>
        <v>Job 9</v>
      </c>
      <c r="BB88" s="62" t="str">
        <f>$T$27</f>
        <v>Job 10</v>
      </c>
      <c r="BC88" s="62" t="str">
        <f>$T$28</f>
        <v>Job 11</v>
      </c>
      <c r="BD88" s="62" t="str">
        <f>$T$29</f>
        <v>Job 12</v>
      </c>
      <c r="BE88" s="66" t="str">
        <f>$T$30</f>
        <v>Job 13</v>
      </c>
      <c r="BF88" s="93"/>
      <c r="BM88" s="208"/>
      <c r="BO88" t="s">
        <v>77</v>
      </c>
      <c r="BQ88" s="9"/>
      <c r="BR88" s="9"/>
      <c r="BS88" s="9"/>
      <c r="BT88" s="9"/>
      <c r="BU88" s="9"/>
      <c r="BV88" s="90"/>
    </row>
    <row r="89" spans="28:74" ht="15" x14ac:dyDescent="0.25">
      <c r="AC89" s="203"/>
      <c r="AD89" s="77"/>
      <c r="AE89" s="70">
        <f>IF(ISERROR(SUM(AF89:BF89)),0,SUM(AF89:BF89))</f>
        <v>0</v>
      </c>
      <c r="AF89" s="71">
        <f>IF(ISERROR(VLOOKUP(AF88,DATEN!$T$3:$AA$30,4,FALSE)),0,VLOOKUP(AF88,DATEN!$T$3:$AA$30,4,FALSE)*(AF90))</f>
        <v>0</v>
      </c>
      <c r="AG89" s="71">
        <f>IF(ISERROR(VLOOKUP(AG88,DATEN!$T$3:$AA$30,4,FALSE)),0,VLOOKUP(AG88,DATEN!$T$3:$AA$30,4,FALSE)*(AG90))</f>
        <v>0</v>
      </c>
      <c r="AH89" s="71">
        <f>IF(ISERROR(VLOOKUP(AH88,DATEN!$T$3:$AA$30,4,FALSE)),0,VLOOKUP(AH88,DATEN!$T$3:$AA$30,4,FALSE)*(AH90))</f>
        <v>0</v>
      </c>
      <c r="AI89" s="71">
        <f>IF(ISERROR(VLOOKUP(AI88,DATEN!$T$3:$AA$30,4,FALSE)),0,VLOOKUP(AI88,DATEN!$T$3:$AA$30,4,FALSE)*(AI90))</f>
        <v>0</v>
      </c>
      <c r="AJ89" s="71">
        <f>IF(ISERROR(VLOOKUP(AJ88,DATEN!$T$3:$AA$30,4,FALSE)),0,VLOOKUP(AJ88,DATEN!$T$3:$AA$30,4,FALSE)*(AJ90))</f>
        <v>0</v>
      </c>
      <c r="AK89" s="71">
        <f>IF(ISERROR(VLOOKUP(AK88,DATEN!$T$3:$AA$30,4,FALSE)),0,VLOOKUP(AK88,DATEN!$T$3:$AA$30,4,FALSE)*(AK90))</f>
        <v>0</v>
      </c>
      <c r="AL89" s="71">
        <f>IF(ISERROR(VLOOKUP(AL88,DATEN!$T$3:$AC$30,4,FALSE)),0,VLOOKUP(AL88,DATEN!$T$3:$AC$30,4,FALSE)*(AL90))</f>
        <v>0</v>
      </c>
      <c r="AM89" s="71">
        <f>IF(ISERROR(VLOOKUP(AM88,DATEN!$T$3:$AC$30,4,FALSE)),0,VLOOKUP(AM88,DATEN!$T$3:$AC$30,4,FALSE)*(AM90))</f>
        <v>0.32640000000000002</v>
      </c>
      <c r="AN89" s="71">
        <f>IF(ISERROR(VLOOKUP(AN88,DATEN!$T$3:$AC$30,4,FALSE)),0,VLOOKUP(AN88,DATEN!$T$3:$AC$30,4,FALSE)*(AN90))</f>
        <v>0</v>
      </c>
      <c r="AO89" s="71">
        <f>IF(ISERROR(VLOOKUP(AO88,DATEN!$T$3:$AC$30,4,FALSE)),0,VLOOKUP(AO88,DATEN!$T$3:$AC$30,4,FALSE)*(AO90))</f>
        <v>4.0104000000000006</v>
      </c>
      <c r="AP89" s="71">
        <f>IF(ISERROR(VLOOKUP(AP88,DATEN!$T$3:$AC$30,4,FALSE)),0,VLOOKUP(AP88,DATEN!$T$3:$AC$30,4,FALSE)*(AP90))</f>
        <v>59.22</v>
      </c>
      <c r="AQ89" s="71">
        <f>IF(ISNA(VLOOKUP(AQ88,$M$7:$R$14,6,FALSE)),0,VLOOKUP(AQ88,$M$7:$R$14,6,FALSE))</f>
        <v>0</v>
      </c>
      <c r="AR89" s="71">
        <f>IF(ISNA(VLOOKUP(AR88,$M$7:$R$14,6,FALSE)),0,VLOOKUP(AR88,$M$7:$R$14,6,FALSE))</f>
        <v>0</v>
      </c>
      <c r="AS89" s="82" t="e">
        <f>(VLOOKUP(AS88,$T$2:$AA$30,3,FALSE)/$AD88)+(VLOOKUP(AS88,$T$2:$AA$30,4,FALSE))</f>
        <v>#DIV/0!</v>
      </c>
      <c r="AT89" s="71" t="e">
        <f t="shared" ref="AT89:BE89" si="62">(VLOOKUP(AT88,$T$2:$AA$30,3,FALSE)/$AD88)+(VLOOKUP(AT88,$T$2:$AA$30,4,FALSE))</f>
        <v>#DIV/0!</v>
      </c>
      <c r="AU89" s="71" t="e">
        <f t="shared" si="62"/>
        <v>#DIV/0!</v>
      </c>
      <c r="AV89" s="71" t="e">
        <f t="shared" si="62"/>
        <v>#DIV/0!</v>
      </c>
      <c r="AW89" s="71" t="e">
        <f t="shared" si="62"/>
        <v>#DIV/0!</v>
      </c>
      <c r="AX89" s="71" t="e">
        <f t="shared" si="62"/>
        <v>#DIV/0!</v>
      </c>
      <c r="AY89" s="71" t="e">
        <f t="shared" si="62"/>
        <v>#DIV/0!</v>
      </c>
      <c r="AZ89" s="71" t="e">
        <f t="shared" si="62"/>
        <v>#DIV/0!</v>
      </c>
      <c r="BA89" s="71" t="e">
        <f t="shared" si="62"/>
        <v>#DIV/0!</v>
      </c>
      <c r="BB89" s="71" t="e">
        <f t="shared" si="62"/>
        <v>#DIV/0!</v>
      </c>
      <c r="BC89" s="71" t="e">
        <f t="shared" si="62"/>
        <v>#DIV/0!</v>
      </c>
      <c r="BD89" s="71" t="e">
        <f t="shared" si="62"/>
        <v>#DIV/0!</v>
      </c>
      <c r="BE89" s="72" t="e">
        <f t="shared" si="62"/>
        <v>#DIV/0!</v>
      </c>
      <c r="BF89" s="94">
        <f>BV89</f>
        <v>0</v>
      </c>
      <c r="BM89" s="208"/>
      <c r="BN89" s="106">
        <f>AD88</f>
        <v>0</v>
      </c>
      <c r="BO89" s="70">
        <f>AF90</f>
        <v>0</v>
      </c>
      <c r="BP89" s="70">
        <f>COUNT('Bestellung Commande'!K61:N61)</f>
        <v>0</v>
      </c>
      <c r="BQ89" s="9">
        <f>BO89*BP89*$V$44*BN89</f>
        <v>0</v>
      </c>
      <c r="BR89" s="9">
        <f>BP89*$W$44*BN89</f>
        <v>0</v>
      </c>
      <c r="BS89" s="9"/>
      <c r="BT89" s="9"/>
      <c r="BU89" s="9"/>
      <c r="BV89" s="90">
        <f>SUM(BQ89:BU89)</f>
        <v>0</v>
      </c>
    </row>
    <row r="90" spans="28:74" ht="15" thickBot="1" x14ac:dyDescent="0.25">
      <c r="AC90" s="204"/>
      <c r="AD90" s="78"/>
      <c r="AE90" s="68" t="s">
        <v>107</v>
      </c>
      <c r="AF90" s="69">
        <f>'Bestellung Commande'!$F61/1000</f>
        <v>0</v>
      </c>
      <c r="AG90" s="69">
        <f>'Bestellung Commande'!$F61/1000</f>
        <v>0</v>
      </c>
      <c r="AH90" s="69">
        <f>'Bestellung Commande'!$F61/1000</f>
        <v>0</v>
      </c>
      <c r="AI90" s="69">
        <f>'Bestellung Commande'!$F61/1000</f>
        <v>0</v>
      </c>
      <c r="AJ90" s="69">
        <f>'Bestellung Commande'!$F61/1000</f>
        <v>0</v>
      </c>
      <c r="AK90" s="69">
        <f>'Bestellung Commande'!$F61/1000</f>
        <v>0</v>
      </c>
      <c r="AL90" s="69">
        <f>'Bestellung Commande'!$F61/1000</f>
        <v>0</v>
      </c>
      <c r="AM90" s="64">
        <v>2</v>
      </c>
      <c r="AN90" s="64">
        <v>0</v>
      </c>
      <c r="AO90" s="64">
        <v>2</v>
      </c>
      <c r="AP90" s="64">
        <v>2</v>
      </c>
      <c r="AQ90" s="80">
        <f>'Pos18'!$F$33</f>
        <v>0</v>
      </c>
      <c r="AR90" s="80">
        <f>'Pos18'!$G$33</f>
        <v>0</v>
      </c>
      <c r="AS90" s="79"/>
      <c r="AT90" s="79"/>
      <c r="AU90" s="79"/>
      <c r="AV90" s="79"/>
      <c r="AW90" s="79"/>
      <c r="AX90" s="79"/>
      <c r="AY90" s="79"/>
      <c r="AZ90" s="79"/>
      <c r="BA90" s="79"/>
      <c r="BB90" s="79"/>
      <c r="BC90" s="79"/>
      <c r="BD90" s="79"/>
      <c r="BE90" s="83"/>
      <c r="BF90" s="93"/>
      <c r="BM90" s="209"/>
      <c r="BN90" s="78"/>
      <c r="BO90" s="68" t="s">
        <v>107</v>
      </c>
      <c r="BP90" s="68"/>
      <c r="BQ90" s="68"/>
      <c r="BR90" s="68"/>
      <c r="BS90" s="68"/>
      <c r="BT90" s="68"/>
      <c r="BU90" s="68"/>
      <c r="BV90" s="91"/>
    </row>
    <row r="91" spans="28:74" ht="15" thickBot="1" x14ac:dyDescent="0.25"/>
    <row r="92" spans="28:74" x14ac:dyDescent="0.2">
      <c r="AC92" s="202">
        <f>'Bestellung Commande'!A63</f>
        <v>19</v>
      </c>
      <c r="AD92" s="76" t="s">
        <v>178</v>
      </c>
      <c r="AE92" s="67"/>
      <c r="AF92" s="61" t="str">
        <f>VLOOKUP(AF93,DATEN!$T$2:$AA$30,2,FALSE)</f>
        <v>Aluprofil</v>
      </c>
      <c r="AG92" s="61" t="str">
        <f>VLOOKUP(AG93,DATEN!$T$2:$AA$30,2,FALSE)</f>
        <v>KS-Trittschwelle</v>
      </c>
      <c r="AH92" s="61" t="s">
        <v>69</v>
      </c>
      <c r="AI92" s="61" t="s">
        <v>70</v>
      </c>
      <c r="AJ92" s="61" t="s">
        <v>71</v>
      </c>
      <c r="AK92" s="61" t="s">
        <v>72</v>
      </c>
      <c r="AL92" s="61" t="str">
        <f>VLOOKUP(AL93,DATEN!$T$2:$AA$30,2,FALSE)</f>
        <v>Anschlussdichtung</v>
      </c>
      <c r="AM92" s="61" t="str">
        <f>VLOOKUP(AM93,DATEN!$T$2:$AA$30,2,FALSE)</f>
        <v>Linsenschaube 4.8x28</v>
      </c>
      <c r="AN92" s="61" t="str">
        <f>VLOOKUP(AN93,DATEN!$T$2:$AA$30,2,FALSE)</f>
        <v>KS-Kupplungselemnt</v>
      </c>
      <c r="AO92" s="61" t="str">
        <f>VLOOKUP(AO93,DATEN!$T$2:$AA$30,2,FALSE)</f>
        <v>Dichtstück</v>
      </c>
      <c r="AP92" s="61" t="str">
        <f>VLOOKUP(AP93,DATEN!$T$2:$AA$30,2,FALSE)</f>
        <v>Endstück mit Entwässerung</v>
      </c>
      <c r="AQ92" s="61" t="s">
        <v>199</v>
      </c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5"/>
      <c r="BF92" s="17"/>
      <c r="BM92" s="207">
        <f>AC92</f>
        <v>19</v>
      </c>
      <c r="BN92" s="76" t="s">
        <v>178</v>
      </c>
      <c r="BO92" s="67" t="s">
        <v>13</v>
      </c>
      <c r="BP92" s="67" t="s">
        <v>23</v>
      </c>
      <c r="BQ92" s="67" t="s">
        <v>193</v>
      </c>
      <c r="BR92" s="67" t="s">
        <v>194</v>
      </c>
      <c r="BS92" s="67"/>
      <c r="BT92" s="67"/>
      <c r="BU92" s="67"/>
      <c r="BV92" s="95" t="s">
        <v>8</v>
      </c>
    </row>
    <row r="93" spans="28:74" x14ac:dyDescent="0.2">
      <c r="AB93">
        <f>AB88+$AB$2</f>
        <v>121</v>
      </c>
      <c r="AC93" s="203"/>
      <c r="AD93" s="77">
        <f>'Bestellung Commande'!E63</f>
        <v>0</v>
      </c>
      <c r="AE93" s="9" t="s">
        <v>77</v>
      </c>
      <c r="AF93" s="62" t="s">
        <v>12</v>
      </c>
      <c r="AG93" s="62" t="s">
        <v>15</v>
      </c>
      <c r="AH93" s="63">
        <f>VLOOKUP('Bestellung Commande'!K63,DATEN!$A$3:$D$10,2,FALSE)</f>
        <v>0</v>
      </c>
      <c r="AI93" s="63">
        <f>VLOOKUP('Bestellung Commande'!L63,DATEN!$A$3:$D$10,2,FALSE)</f>
        <v>0</v>
      </c>
      <c r="AJ93" s="63">
        <f>VLOOKUP('Bestellung Commande'!M63,DATEN!$A$3:$D$10,2,FALSE)</f>
        <v>0</v>
      </c>
      <c r="AK93" s="63">
        <f>VLOOKUP('Bestellung Commande'!N63,DATEN!$A$3:$D$10,2,FALSE)</f>
        <v>0</v>
      </c>
      <c r="AL93" s="62" t="s">
        <v>82</v>
      </c>
      <c r="AM93" s="62" t="s">
        <v>83</v>
      </c>
      <c r="AN93" s="62" t="s">
        <v>84</v>
      </c>
      <c r="AO93" s="62" t="s">
        <v>85</v>
      </c>
      <c r="AP93" s="62" t="s">
        <v>86</v>
      </c>
      <c r="AQ93" s="62" t="str">
        <f>IF(ISNA('Pos19'!$F$31),"",'Pos19'!$F$31)</f>
        <v/>
      </c>
      <c r="AR93" s="93"/>
      <c r="AS93" s="81" t="str">
        <f>$T$18</f>
        <v>Rüsten</v>
      </c>
      <c r="AT93" s="62" t="str">
        <f>$T$19</f>
        <v>Sägen</v>
      </c>
      <c r="AU93" s="62" t="str">
        <f>$T$20</f>
        <v>Bohren</v>
      </c>
      <c r="AV93" s="62" t="str">
        <f>$T$21</f>
        <v>Kleben</v>
      </c>
      <c r="AW93" s="62" t="str">
        <f>$T$22</f>
        <v>Montage</v>
      </c>
      <c r="AX93" s="62" t="str">
        <f>$T$23</f>
        <v>Spedi</v>
      </c>
      <c r="AY93" s="62" t="str">
        <f>$T$24</f>
        <v>Steg</v>
      </c>
      <c r="AZ93" s="62" t="str">
        <f>$T$25</f>
        <v>Job 8</v>
      </c>
      <c r="BA93" s="62" t="str">
        <f>$T$26</f>
        <v>Job 9</v>
      </c>
      <c r="BB93" s="62" t="str">
        <f>$T$27</f>
        <v>Job 10</v>
      </c>
      <c r="BC93" s="62" t="str">
        <f>$T$28</f>
        <v>Job 11</v>
      </c>
      <c r="BD93" s="62" t="str">
        <f>$T$29</f>
        <v>Job 12</v>
      </c>
      <c r="BE93" s="66" t="str">
        <f>$T$30</f>
        <v>Job 13</v>
      </c>
      <c r="BF93" s="93"/>
      <c r="BM93" s="208"/>
      <c r="BO93" t="s">
        <v>77</v>
      </c>
      <c r="BQ93" s="9"/>
      <c r="BR93" s="9"/>
      <c r="BS93" s="9"/>
      <c r="BT93" s="9"/>
      <c r="BU93" s="9"/>
      <c r="BV93" s="90"/>
    </row>
    <row r="94" spans="28:74" ht="15" x14ac:dyDescent="0.25">
      <c r="AC94" s="203"/>
      <c r="AD94" s="77"/>
      <c r="AE94" s="70">
        <f>IF(ISERROR(SUM(AF94:BF94)),0,SUM(AF94:BF94))</f>
        <v>0</v>
      </c>
      <c r="AF94" s="71">
        <f>IF(ISERROR(VLOOKUP(AF93,DATEN!$T$3:$AA$30,4,FALSE)),0,VLOOKUP(AF93,DATEN!$T$3:$AA$30,4,FALSE)*(AF95))</f>
        <v>0</v>
      </c>
      <c r="AG94" s="71">
        <f>IF(ISERROR(VLOOKUP(AG93,DATEN!$T$3:$AA$30,4,FALSE)),0,VLOOKUP(AG93,DATEN!$T$3:$AA$30,4,FALSE)*(AG95))</f>
        <v>0</v>
      </c>
      <c r="AH94" s="71">
        <f>IF(ISERROR(VLOOKUP(AH93,DATEN!$T$3:$AA$30,4,FALSE)),0,VLOOKUP(AH93,DATEN!$T$3:$AA$30,4,FALSE)*(AH95))</f>
        <v>0</v>
      </c>
      <c r="AI94" s="71">
        <f>IF(ISERROR(VLOOKUP(AI93,DATEN!$T$3:$AA$30,4,FALSE)),0,VLOOKUP(AI93,DATEN!$T$3:$AA$30,4,FALSE)*(AI95))</f>
        <v>0</v>
      </c>
      <c r="AJ94" s="71">
        <f>IF(ISERROR(VLOOKUP(AJ93,DATEN!$T$3:$AA$30,4,FALSE)),0,VLOOKUP(AJ93,DATEN!$T$3:$AA$30,4,FALSE)*(AJ95))</f>
        <v>0</v>
      </c>
      <c r="AK94" s="71">
        <f>IF(ISERROR(VLOOKUP(AK93,DATEN!$T$3:$AA$30,4,FALSE)),0,VLOOKUP(AK93,DATEN!$T$3:$AA$30,4,FALSE)*(AK95))</f>
        <v>0</v>
      </c>
      <c r="AL94" s="71">
        <f>IF(ISERROR(VLOOKUP(AL93,DATEN!$T$3:$AA$30,4,FALSE)),0,VLOOKUP(AL93,DATEN!$T$3:$AA$30,4,FALSE)*(AL95))</f>
        <v>0</v>
      </c>
      <c r="AM94" s="71">
        <f>IF(ISERROR(VLOOKUP(AM93,DATEN!$T$3:$AC$30,4,FALSE)),0,VLOOKUP(AM93,DATEN!$T$3:$AC$30,4,FALSE)*(AM95))</f>
        <v>0.32640000000000002</v>
      </c>
      <c r="AN94" s="71">
        <f>IF(ISERROR(VLOOKUP(AN93,DATEN!$T$3:$AC$30,4,FALSE)),0,VLOOKUP(AN93,DATEN!$T$3:$AC$30,4,FALSE)*(AN95))</f>
        <v>0</v>
      </c>
      <c r="AO94" s="71">
        <f>IF(ISERROR(VLOOKUP(AO93,DATEN!$T$3:$AC$30,4,FALSE)),0,VLOOKUP(AO93,DATEN!$T$3:$AC$30,4,FALSE)*(AO95))</f>
        <v>4.0104000000000006</v>
      </c>
      <c r="AP94" s="71">
        <f>IF(ISERROR(VLOOKUP(AP93,DATEN!$T$3:$AC$30,4,FALSE)),0,VLOOKUP(AP93,DATEN!$T$3:$AC$30,4,FALSE)*(AP95))</f>
        <v>59.22</v>
      </c>
      <c r="AQ94" s="71">
        <f>IF(ISNA(VLOOKUP(AQ93,$M$7:$R$14,6,FALSE)),0,VLOOKUP(AQ93,$M$7:$R$14,6,FALSE))</f>
        <v>0</v>
      </c>
      <c r="AR94" s="71">
        <f>IF(ISNA(VLOOKUP(AR93,$M$7:$R$14,6,FALSE)),0,VLOOKUP(AR93,$M$7:$R$14,6,FALSE))</f>
        <v>0</v>
      </c>
      <c r="AS94" s="82" t="e">
        <f>(VLOOKUP(AS93,$T$2:$AA$30,3,FALSE)/$AD93)+(VLOOKUP(AS93,$T$2:$AA$30,4,FALSE))</f>
        <v>#DIV/0!</v>
      </c>
      <c r="AT94" s="71" t="e">
        <f t="shared" ref="AT94:BE94" si="63">(VLOOKUP(AT93,$T$2:$AA$30,3,FALSE)/$AD93)+(VLOOKUP(AT93,$T$2:$AA$30,4,FALSE))</f>
        <v>#DIV/0!</v>
      </c>
      <c r="AU94" s="71" t="e">
        <f t="shared" si="63"/>
        <v>#DIV/0!</v>
      </c>
      <c r="AV94" s="71" t="e">
        <f t="shared" si="63"/>
        <v>#DIV/0!</v>
      </c>
      <c r="AW94" s="71" t="e">
        <f t="shared" si="63"/>
        <v>#DIV/0!</v>
      </c>
      <c r="AX94" s="71" t="e">
        <f t="shared" si="63"/>
        <v>#DIV/0!</v>
      </c>
      <c r="AY94" s="71" t="e">
        <f t="shared" si="63"/>
        <v>#DIV/0!</v>
      </c>
      <c r="AZ94" s="71" t="e">
        <f t="shared" si="63"/>
        <v>#DIV/0!</v>
      </c>
      <c r="BA94" s="71" t="e">
        <f t="shared" si="63"/>
        <v>#DIV/0!</v>
      </c>
      <c r="BB94" s="71" t="e">
        <f t="shared" si="63"/>
        <v>#DIV/0!</v>
      </c>
      <c r="BC94" s="71" t="e">
        <f t="shared" si="63"/>
        <v>#DIV/0!</v>
      </c>
      <c r="BD94" s="71" t="e">
        <f t="shared" si="63"/>
        <v>#DIV/0!</v>
      </c>
      <c r="BE94" s="72" t="e">
        <f t="shared" si="63"/>
        <v>#DIV/0!</v>
      </c>
      <c r="BF94" s="94">
        <f>BV94</f>
        <v>0</v>
      </c>
      <c r="BM94" s="208"/>
      <c r="BN94" s="106">
        <f>AD93</f>
        <v>0</v>
      </c>
      <c r="BO94" s="70">
        <f>AF95</f>
        <v>0</v>
      </c>
      <c r="BP94" s="70">
        <f>COUNT('Bestellung Commande'!K63:N63)</f>
        <v>0</v>
      </c>
      <c r="BQ94" s="9">
        <f>BO94*BP94*$V$44*BN94</f>
        <v>0</v>
      </c>
      <c r="BR94" s="9">
        <f>BP94*$W$44*BN94</f>
        <v>0</v>
      </c>
      <c r="BS94" s="9"/>
      <c r="BT94" s="9"/>
      <c r="BU94" s="9"/>
      <c r="BV94" s="90">
        <f>SUM(BQ94:BU94)</f>
        <v>0</v>
      </c>
    </row>
    <row r="95" spans="28:74" ht="15" thickBot="1" x14ac:dyDescent="0.25">
      <c r="AC95" s="204"/>
      <c r="AD95" s="78"/>
      <c r="AE95" s="68" t="s">
        <v>107</v>
      </c>
      <c r="AF95" s="69">
        <f>'Bestellung Commande'!$F63/1000</f>
        <v>0</v>
      </c>
      <c r="AG95" s="69">
        <f>'Bestellung Commande'!$F63/1000</f>
        <v>0</v>
      </c>
      <c r="AH95" s="69">
        <f>'Bestellung Commande'!$F63/1000</f>
        <v>0</v>
      </c>
      <c r="AI95" s="69">
        <f>'Bestellung Commande'!$F63/1000</f>
        <v>0</v>
      </c>
      <c r="AJ95" s="69">
        <f>'Bestellung Commande'!$F63/1000</f>
        <v>0</v>
      </c>
      <c r="AK95" s="69">
        <f>'Bestellung Commande'!$F63/1000</f>
        <v>0</v>
      </c>
      <c r="AL95" s="69">
        <f>'Bestellung Commande'!$F63/1000</f>
        <v>0</v>
      </c>
      <c r="AM95" s="64">
        <v>2</v>
      </c>
      <c r="AN95" s="64">
        <v>0</v>
      </c>
      <c r="AO95" s="64">
        <v>2</v>
      </c>
      <c r="AP95" s="64">
        <v>2</v>
      </c>
      <c r="AQ95" s="80">
        <f>'Pos19'!$F$33</f>
        <v>0</v>
      </c>
      <c r="AR95" s="80">
        <f>'Pos19'!$G$33</f>
        <v>0</v>
      </c>
      <c r="AS95" s="79"/>
      <c r="AT95" s="79"/>
      <c r="AU95" s="79"/>
      <c r="AV95" s="79"/>
      <c r="AW95" s="79"/>
      <c r="AX95" s="79"/>
      <c r="AY95" s="79"/>
      <c r="AZ95" s="79"/>
      <c r="BA95" s="79"/>
      <c r="BB95" s="79"/>
      <c r="BC95" s="79"/>
      <c r="BD95" s="79"/>
      <c r="BE95" s="83"/>
      <c r="BF95" s="93"/>
      <c r="BM95" s="209"/>
      <c r="BN95" s="78"/>
      <c r="BO95" s="68" t="s">
        <v>107</v>
      </c>
      <c r="BP95" s="68"/>
      <c r="BQ95" s="68"/>
      <c r="BR95" s="68"/>
      <c r="BS95" s="68"/>
      <c r="BT95" s="68"/>
      <c r="BU95" s="68"/>
      <c r="BV95" s="91"/>
    </row>
    <row r="96" spans="28:74" ht="15" thickBot="1" x14ac:dyDescent="0.25"/>
    <row r="97" spans="28:74" x14ac:dyDescent="0.2">
      <c r="AC97" s="202">
        <f>'Bestellung Commande'!A65</f>
        <v>20</v>
      </c>
      <c r="AD97" s="76" t="s">
        <v>178</v>
      </c>
      <c r="AE97" s="67"/>
      <c r="AF97" s="61" t="str">
        <f>VLOOKUP(AF98,DATEN!$T$2:$AA$30,2,FALSE)</f>
        <v>Aluprofil</v>
      </c>
      <c r="AG97" s="61" t="str">
        <f>VLOOKUP(AG98,DATEN!$T$2:$AA$30,2,FALSE)</f>
        <v>KS-Trittschwelle</v>
      </c>
      <c r="AH97" s="61" t="s">
        <v>69</v>
      </c>
      <c r="AI97" s="61" t="s">
        <v>70</v>
      </c>
      <c r="AJ97" s="61" t="s">
        <v>71</v>
      </c>
      <c r="AK97" s="61" t="s">
        <v>72</v>
      </c>
      <c r="AL97" s="61" t="str">
        <f>VLOOKUP(AL98,DATEN!$T$2:$AA$30,2,FALSE)</f>
        <v>Anschlussdichtung</v>
      </c>
      <c r="AM97" s="61" t="str">
        <f>VLOOKUP(AM98,DATEN!$T$2:$AA$30,2,FALSE)</f>
        <v>Linsenschaube 4.8x28</v>
      </c>
      <c r="AN97" s="61" t="str">
        <f>VLOOKUP(AN98,DATEN!$T$2:$AA$30,2,FALSE)</f>
        <v>KS-Kupplungselemnt</v>
      </c>
      <c r="AO97" s="61" t="str">
        <f>VLOOKUP(AO98,DATEN!$T$2:$AA$30,2,FALSE)</f>
        <v>Dichtstück</v>
      </c>
      <c r="AP97" s="61" t="str">
        <f>VLOOKUP(AP98,DATEN!$T$2:$AA$30,2,FALSE)</f>
        <v>Endstück mit Entwässerung</v>
      </c>
      <c r="AQ97" s="61" t="s">
        <v>199</v>
      </c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5"/>
      <c r="BF97" s="17"/>
      <c r="BM97" s="207">
        <f>AC97</f>
        <v>20</v>
      </c>
      <c r="BN97" s="76" t="s">
        <v>178</v>
      </c>
      <c r="BO97" s="67" t="s">
        <v>13</v>
      </c>
      <c r="BP97" s="67" t="s">
        <v>23</v>
      </c>
      <c r="BQ97" s="67" t="s">
        <v>193</v>
      </c>
      <c r="BR97" s="67" t="s">
        <v>194</v>
      </c>
      <c r="BS97" s="67"/>
      <c r="BT97" s="67"/>
      <c r="BU97" s="67"/>
      <c r="BV97" s="95" t="s">
        <v>8</v>
      </c>
    </row>
    <row r="98" spans="28:74" x14ac:dyDescent="0.2">
      <c r="AB98">
        <f>AB93+$AB$2</f>
        <v>126</v>
      </c>
      <c r="AC98" s="203"/>
      <c r="AD98" s="77">
        <f>'Bestellung Commande'!E65</f>
        <v>0</v>
      </c>
      <c r="AE98" s="9" t="s">
        <v>77</v>
      </c>
      <c r="AF98" s="62" t="s">
        <v>12</v>
      </c>
      <c r="AG98" s="62" t="s">
        <v>15</v>
      </c>
      <c r="AH98" s="63">
        <f>VLOOKUP('Bestellung Commande'!K65,DATEN!$A$3:$D$10,2,FALSE)</f>
        <v>0</v>
      </c>
      <c r="AI98" s="63">
        <f>VLOOKUP('Bestellung Commande'!L65,DATEN!$A$3:$D$10,2,FALSE)</f>
        <v>0</v>
      </c>
      <c r="AJ98" s="63">
        <f>VLOOKUP('Bestellung Commande'!M65,DATEN!$A$3:$D$10,2,FALSE)</f>
        <v>0</v>
      </c>
      <c r="AK98" s="63">
        <f>VLOOKUP('Bestellung Commande'!N65,DATEN!$A$3:$D$10,2,FALSE)</f>
        <v>0</v>
      </c>
      <c r="AL98" s="62" t="s">
        <v>82</v>
      </c>
      <c r="AM98" s="62" t="s">
        <v>83</v>
      </c>
      <c r="AN98" s="62" t="s">
        <v>84</v>
      </c>
      <c r="AO98" s="62" t="s">
        <v>85</v>
      </c>
      <c r="AP98" s="62" t="s">
        <v>86</v>
      </c>
      <c r="AQ98" s="62" t="str">
        <f>IF(ISNA('Pos20'!$F$31),"",'Pos20'!$F$31)</f>
        <v/>
      </c>
      <c r="AR98" s="93"/>
      <c r="AS98" s="81" t="str">
        <f>$T$18</f>
        <v>Rüsten</v>
      </c>
      <c r="AT98" s="62" t="str">
        <f>$T$19</f>
        <v>Sägen</v>
      </c>
      <c r="AU98" s="62" t="str">
        <f>$T$20</f>
        <v>Bohren</v>
      </c>
      <c r="AV98" s="62" t="str">
        <f>$T$21</f>
        <v>Kleben</v>
      </c>
      <c r="AW98" s="62" t="str">
        <f>$T$22</f>
        <v>Montage</v>
      </c>
      <c r="AX98" s="62" t="str">
        <f>$T$23</f>
        <v>Spedi</v>
      </c>
      <c r="AY98" s="62" t="str">
        <f>$T$24</f>
        <v>Steg</v>
      </c>
      <c r="AZ98" s="62" t="str">
        <f>$T$25</f>
        <v>Job 8</v>
      </c>
      <c r="BA98" s="62" t="str">
        <f>$T$26</f>
        <v>Job 9</v>
      </c>
      <c r="BB98" s="62" t="str">
        <f>$T$27</f>
        <v>Job 10</v>
      </c>
      <c r="BC98" s="62" t="str">
        <f>$T$28</f>
        <v>Job 11</v>
      </c>
      <c r="BD98" s="62" t="str">
        <f>$T$29</f>
        <v>Job 12</v>
      </c>
      <c r="BE98" s="66" t="str">
        <f>$T$30</f>
        <v>Job 13</v>
      </c>
      <c r="BF98" s="93"/>
      <c r="BM98" s="208"/>
      <c r="BO98" t="s">
        <v>77</v>
      </c>
      <c r="BQ98" s="9"/>
      <c r="BR98" s="9"/>
      <c r="BS98" s="9"/>
      <c r="BT98" s="9"/>
      <c r="BU98" s="9"/>
      <c r="BV98" s="90"/>
    </row>
    <row r="99" spans="28:74" ht="15" x14ac:dyDescent="0.25">
      <c r="AC99" s="203"/>
      <c r="AD99" s="77"/>
      <c r="AE99" s="70">
        <f>IF(ISERROR(SUM(AF99:BF99)),0,SUM(AF99:BF99))</f>
        <v>0</v>
      </c>
      <c r="AF99" s="71">
        <f>IF(ISERROR(VLOOKUP(AF98,DATEN!$T$3:$AA$30,4,FALSE)),0,VLOOKUP(AF98,DATEN!$T$3:$AA$30,4,FALSE)*(AF100))</f>
        <v>0</v>
      </c>
      <c r="AG99" s="71">
        <f>IF(ISERROR(VLOOKUP(AG98,DATEN!$T$3:$AA$30,4,FALSE)),0,VLOOKUP(AG98,DATEN!$T$3:$AA$30,4,FALSE)*(AG100))</f>
        <v>0</v>
      </c>
      <c r="AH99" s="71">
        <f>IF(ISERROR(VLOOKUP(AH98,DATEN!$T$3:$AA$30,4,FALSE)),0,VLOOKUP(AH98,DATEN!$T$3:$AA$30,4,FALSE)*(AH100))</f>
        <v>0</v>
      </c>
      <c r="AI99" s="71">
        <f>IF(ISERROR(VLOOKUP(AI98,DATEN!$T$3:$AA$30,4,FALSE)),0,VLOOKUP(AI98,DATEN!$T$3:$AA$30,4,FALSE)*(AI100))</f>
        <v>0</v>
      </c>
      <c r="AJ99" s="71">
        <f>IF(ISERROR(VLOOKUP(AJ98,DATEN!$T$3:$AA$30,4,FALSE)),0,VLOOKUP(AJ98,DATEN!$T$3:$AA$30,4,FALSE)*(AJ100))</f>
        <v>0</v>
      </c>
      <c r="AK99" s="71">
        <f>IF(ISERROR(VLOOKUP(AK98,DATEN!$T$3:$AA$30,4,FALSE)),0,VLOOKUP(AK98,DATEN!$T$3:$AA$30,4,FALSE)*(AK100))</f>
        <v>0</v>
      </c>
      <c r="AL99" s="71">
        <f>IF(ISERROR(VLOOKUP(AL98,DATEN!$T$3:$AA$30,4,FALSE)),0,VLOOKUP(AL98,DATEN!$T$3:$AA$30,4,FALSE)*(AL100))</f>
        <v>0</v>
      </c>
      <c r="AM99" s="71">
        <f>IF(ISERROR(VLOOKUP(AM98,DATEN!$T$3:$AC$30,4,FALSE)),0,VLOOKUP(AM98,DATEN!$T$3:$AC$30,4,FALSE)*(AM100))</f>
        <v>0.32640000000000002</v>
      </c>
      <c r="AN99" s="71">
        <f>IF(ISERROR(VLOOKUP(AN98,DATEN!$T$3:$AC$30,4,FALSE)),0,VLOOKUP(AN98,DATEN!$T$3:$AC$30,4,FALSE)*(AN100))</f>
        <v>0</v>
      </c>
      <c r="AO99" s="71">
        <f>IF(ISERROR(VLOOKUP(AO98,DATEN!$T$3:$AC$30,4,FALSE)),0,VLOOKUP(AO98,DATEN!$T$3:$AC$30,4,FALSE)*(AO100))</f>
        <v>4.0104000000000006</v>
      </c>
      <c r="AP99" s="71">
        <f>IF(ISERROR(VLOOKUP(AP98,DATEN!$T$3:$AC$30,4,FALSE)),0,VLOOKUP(AP98,DATEN!$T$3:$AC$30,4,FALSE)*(AP100))</f>
        <v>59.22</v>
      </c>
      <c r="AQ99" s="71">
        <f>IF(ISNA(VLOOKUP(AQ98,$M$7:$R$14,6,FALSE)),0,VLOOKUP(AQ98,$M$7:$R$14,6,FALSE))</f>
        <v>0</v>
      </c>
      <c r="AR99" s="71">
        <f>IF(ISNA(VLOOKUP(AR98,$M$7:$R$14,6,FALSE)),0,VLOOKUP(AR98,$M$7:$R$14,6,FALSE))</f>
        <v>0</v>
      </c>
      <c r="AS99" s="82" t="e">
        <f>(VLOOKUP(AS98,$T$2:$AA$30,3,FALSE)/$AD98)+(VLOOKUP(AS98,$T$2:$AA$30,4,FALSE))</f>
        <v>#DIV/0!</v>
      </c>
      <c r="AT99" s="71" t="e">
        <f t="shared" ref="AT99:BE99" si="64">(VLOOKUP(AT98,$T$2:$AA$30,3,FALSE)/$AD98)+(VLOOKUP(AT98,$T$2:$AA$30,4,FALSE))</f>
        <v>#DIV/0!</v>
      </c>
      <c r="AU99" s="71" t="e">
        <f t="shared" si="64"/>
        <v>#DIV/0!</v>
      </c>
      <c r="AV99" s="71" t="e">
        <f t="shared" si="64"/>
        <v>#DIV/0!</v>
      </c>
      <c r="AW99" s="71" t="e">
        <f t="shared" si="64"/>
        <v>#DIV/0!</v>
      </c>
      <c r="AX99" s="71" t="e">
        <f t="shared" si="64"/>
        <v>#DIV/0!</v>
      </c>
      <c r="AY99" s="71" t="e">
        <f t="shared" si="64"/>
        <v>#DIV/0!</v>
      </c>
      <c r="AZ99" s="71" t="e">
        <f t="shared" si="64"/>
        <v>#DIV/0!</v>
      </c>
      <c r="BA99" s="71" t="e">
        <f t="shared" si="64"/>
        <v>#DIV/0!</v>
      </c>
      <c r="BB99" s="71" t="e">
        <f t="shared" si="64"/>
        <v>#DIV/0!</v>
      </c>
      <c r="BC99" s="71" t="e">
        <f t="shared" si="64"/>
        <v>#DIV/0!</v>
      </c>
      <c r="BD99" s="71" t="e">
        <f t="shared" si="64"/>
        <v>#DIV/0!</v>
      </c>
      <c r="BE99" s="72" t="e">
        <f t="shared" si="64"/>
        <v>#DIV/0!</v>
      </c>
      <c r="BF99" s="94">
        <f>BV99</f>
        <v>0</v>
      </c>
      <c r="BM99" s="208"/>
      <c r="BN99" s="106">
        <f>AD98</f>
        <v>0</v>
      </c>
      <c r="BO99" s="70">
        <f>AF100</f>
        <v>0</v>
      </c>
      <c r="BP99" s="70">
        <f>COUNT('Bestellung Commande'!K65:N65)</f>
        <v>0</v>
      </c>
      <c r="BQ99" s="9">
        <f>BO99*BP99*$V$44*BN99</f>
        <v>0</v>
      </c>
      <c r="BR99" s="9">
        <f>BP99*$W$44*BN99</f>
        <v>0</v>
      </c>
      <c r="BS99" s="9"/>
      <c r="BT99" s="9"/>
      <c r="BU99" s="9"/>
      <c r="BV99" s="90">
        <f>SUM(BQ99:BU99)</f>
        <v>0</v>
      </c>
    </row>
    <row r="100" spans="28:74" ht="15" thickBot="1" x14ac:dyDescent="0.25">
      <c r="AC100" s="204"/>
      <c r="AD100" s="78"/>
      <c r="AE100" s="68" t="s">
        <v>107</v>
      </c>
      <c r="AF100" s="69">
        <f>'Bestellung Commande'!$F65/1000</f>
        <v>0</v>
      </c>
      <c r="AG100" s="69">
        <f>'Bestellung Commande'!$F65/1000</f>
        <v>0</v>
      </c>
      <c r="AH100" s="69">
        <f>'Bestellung Commande'!$F65/1000</f>
        <v>0</v>
      </c>
      <c r="AI100" s="69">
        <f>'Bestellung Commande'!$F65/1000</f>
        <v>0</v>
      </c>
      <c r="AJ100" s="69">
        <f>'Bestellung Commande'!$F65/1000</f>
        <v>0</v>
      </c>
      <c r="AK100" s="69">
        <f>'Bestellung Commande'!$F65/1000</f>
        <v>0</v>
      </c>
      <c r="AL100" s="69">
        <f>'Bestellung Commande'!$F65/1000</f>
        <v>0</v>
      </c>
      <c r="AM100" s="64">
        <v>2</v>
      </c>
      <c r="AN100" s="64">
        <v>0</v>
      </c>
      <c r="AO100" s="64">
        <v>2</v>
      </c>
      <c r="AP100" s="64">
        <v>2</v>
      </c>
      <c r="AQ100" s="80">
        <f>'Pos20'!$F$33</f>
        <v>0</v>
      </c>
      <c r="AR100" s="80">
        <f>'Pos20'!$G$33</f>
        <v>0</v>
      </c>
      <c r="AS100" s="79"/>
      <c r="AT100" s="79"/>
      <c r="AU100" s="79"/>
      <c r="AV100" s="79"/>
      <c r="AW100" s="79"/>
      <c r="AX100" s="79"/>
      <c r="AY100" s="79"/>
      <c r="AZ100" s="79"/>
      <c r="BA100" s="79"/>
      <c r="BB100" s="79"/>
      <c r="BC100" s="79"/>
      <c r="BD100" s="79"/>
      <c r="BE100" s="83"/>
      <c r="BF100" s="93"/>
      <c r="BM100" s="209"/>
      <c r="BN100" s="78"/>
      <c r="BO100" s="68" t="s">
        <v>107</v>
      </c>
      <c r="BP100" s="68"/>
      <c r="BQ100" s="68"/>
      <c r="BR100" s="68"/>
      <c r="BS100" s="68"/>
      <c r="BT100" s="68"/>
      <c r="BU100" s="68"/>
      <c r="BV100" s="91"/>
    </row>
  </sheetData>
  <sheetProtection algorithmName="SHA-512" hashValue="pK60kD7VBU51HGoz2ug/hmaz9SZySybCwiEdnM47brawG9qWjoP20kU6YqSoB6d1crsjASOWlcWietXCSMVo7A==" saltValue="ajPPgr5YgVuQ0EXeoi/aEQ==" spinCount="100000" sheet="1" objects="1" scenarios="1"/>
  <sortState xmlns:xlrd2="http://schemas.microsoft.com/office/spreadsheetml/2017/richdata2" ref="A4:D8">
    <sortCondition ref="A4:A8"/>
  </sortState>
  <mergeCells count="43">
    <mergeCell ref="BM77:BM80"/>
    <mergeCell ref="BM82:BM85"/>
    <mergeCell ref="BM87:BM90"/>
    <mergeCell ref="BM92:BM95"/>
    <mergeCell ref="BM97:BM100"/>
    <mergeCell ref="AC77:AC80"/>
    <mergeCell ref="AC82:AC85"/>
    <mergeCell ref="AC87:AC90"/>
    <mergeCell ref="AC92:AC95"/>
    <mergeCell ref="AC97:AC100"/>
    <mergeCell ref="AC57:AC60"/>
    <mergeCell ref="AC62:AC65"/>
    <mergeCell ref="AC67:AC70"/>
    <mergeCell ref="AC72:AC75"/>
    <mergeCell ref="BM27:BM30"/>
    <mergeCell ref="BM32:BM35"/>
    <mergeCell ref="BM37:BM40"/>
    <mergeCell ref="BM42:BM45"/>
    <mergeCell ref="BM47:BM50"/>
    <mergeCell ref="BM52:BM55"/>
    <mergeCell ref="BM57:BM60"/>
    <mergeCell ref="BM62:BM65"/>
    <mergeCell ref="BM67:BM70"/>
    <mergeCell ref="BM72:BM75"/>
    <mergeCell ref="AC27:AC30"/>
    <mergeCell ref="AC32:AC35"/>
    <mergeCell ref="M2:R2"/>
    <mergeCell ref="BM7:BM10"/>
    <mergeCell ref="BM12:BM15"/>
    <mergeCell ref="BM17:BM20"/>
    <mergeCell ref="BM22:BM25"/>
    <mergeCell ref="AC22:AC25"/>
    <mergeCell ref="BM2:BM5"/>
    <mergeCell ref="R3:R5"/>
    <mergeCell ref="AC37:AC40"/>
    <mergeCell ref="AC42:AC45"/>
    <mergeCell ref="AC47:AC50"/>
    <mergeCell ref="AC52:AC55"/>
    <mergeCell ref="T1:BE1"/>
    <mergeCell ref="AC2:AC5"/>
    <mergeCell ref="AC7:AC10"/>
    <mergeCell ref="AC12:AC15"/>
    <mergeCell ref="AC17:AC20"/>
  </mergeCells>
  <phoneticPr fontId="8" type="noConversion"/>
  <pageMargins left="0.7" right="0.7" top="0.78740157499999996" bottom="0.78740157499999996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E3961-EAFA-4776-88A9-A07B2A2CBB7B}">
  <sheetPr codeName="Tabelle7"/>
  <dimension ref="A1:Y157"/>
  <sheetViews>
    <sheetView view="pageBreakPreview" topLeftCell="A82" zoomScaleNormal="120" zoomScaleSheetLayoutView="100" workbookViewId="0">
      <selection activeCell="A12" sqref="A12:B12"/>
    </sheetView>
  </sheetViews>
  <sheetFormatPr baseColWidth="10" defaultColWidth="11" defaultRowHeight="14.25" x14ac:dyDescent="0.2"/>
  <cols>
    <col min="1" max="2" width="8.875" customWidth="1"/>
    <col min="3" max="3" width="6.5" customWidth="1"/>
    <col min="4" max="5" width="11.625" customWidth="1"/>
    <col min="6" max="7" width="11.625" style="9" customWidth="1"/>
    <col min="8" max="8" width="4.875" style="9" customWidth="1"/>
    <col min="9" max="9" width="8.75" customWidth="1"/>
    <col min="10" max="10" width="4.5" style="9" customWidth="1"/>
    <col min="11" max="11" width="4.5" customWidth="1"/>
    <col min="17" max="17" width="14.25" bestFit="1" customWidth="1"/>
  </cols>
  <sheetData>
    <row r="1" spans="1:11" ht="23.25" x14ac:dyDescent="0.2">
      <c r="A1" s="238" t="s">
        <v>56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</row>
    <row r="2" spans="1:11" ht="15" x14ac:dyDescent="0.25">
      <c r="A2" s="243" t="s">
        <v>0</v>
      </c>
      <c r="B2" s="244"/>
      <c r="C2" s="244"/>
      <c r="D2" s="244"/>
      <c r="E2" s="245"/>
      <c r="F2" s="248" t="s">
        <v>1</v>
      </c>
      <c r="G2" s="249"/>
      <c r="H2" s="249"/>
      <c r="I2" s="249"/>
      <c r="J2" s="249"/>
      <c r="K2" s="249"/>
    </row>
    <row r="3" spans="1:11" ht="15" x14ac:dyDescent="0.25">
      <c r="A3" s="165" t="str">
        <f>VLOOKUP(DATEN!I2,DATEN!$I$1:$J$39,IF($I$3="Deutsch", 1, 2),FALSE)</f>
        <v>Kunde Name:</v>
      </c>
      <c r="B3" s="167"/>
      <c r="C3" s="212">
        <f>'Bestellung Commande'!C2</f>
        <v>0</v>
      </c>
      <c r="D3" s="212"/>
      <c r="E3" s="212"/>
      <c r="F3" s="42" t="s">
        <v>2</v>
      </c>
      <c r="G3" s="43"/>
      <c r="H3" s="43"/>
      <c r="I3" s="246" t="s">
        <v>3</v>
      </c>
      <c r="J3" s="247"/>
      <c r="K3" s="247"/>
    </row>
    <row r="4" spans="1:11" ht="15" x14ac:dyDescent="0.25">
      <c r="A4" s="10" t="str">
        <f>VLOOKUP(DATEN!I3,DATEN!$I$1:$J$39,IF($I$3="Deutsch", 1, 2),FALSE)</f>
        <v>Kontaktperson:</v>
      </c>
      <c r="B4" s="11"/>
      <c r="C4" s="212">
        <f>'Bestellung Commande'!C3</f>
        <v>0</v>
      </c>
      <c r="D4" s="212"/>
      <c r="E4" s="212"/>
      <c r="F4" s="42" t="str">
        <f>VLOOKUP(DATEN!I9,DATEN!$I$1:$J$39,IF($I$3="Deutsch", 1, 2),FALSE)</f>
        <v>Bestelldatum:</v>
      </c>
      <c r="G4" s="43"/>
      <c r="H4" s="43"/>
      <c r="I4" s="239">
        <f>'Bestellung Commande'!L3</f>
        <v>0</v>
      </c>
      <c r="J4" s="240"/>
      <c r="K4" s="240"/>
    </row>
    <row r="5" spans="1:11" ht="15" x14ac:dyDescent="0.25">
      <c r="A5" s="165" t="str">
        <f>VLOOKUP(DATEN!I4,DATEN!$I$1:$J$39,IF($I$3="Deutsch", 1, 2),FALSE)</f>
        <v>Kommision:</v>
      </c>
      <c r="B5" s="167"/>
      <c r="C5" s="212">
        <f>'Bestellung Commande'!C4</f>
        <v>0</v>
      </c>
      <c r="D5" s="212"/>
      <c r="E5" s="212"/>
      <c r="F5" s="42" t="str">
        <f>VLOOKUP(DATEN!I10,DATEN!$I$1:$J$39,IF($I$3="Deutsch", 1, 2),FALSE)</f>
        <v>Wunsch Liefertermin:</v>
      </c>
      <c r="G5" s="43"/>
      <c r="H5" s="43"/>
      <c r="I5" s="241">
        <f>'Bestellung Commande'!L4</f>
        <v>0</v>
      </c>
      <c r="J5" s="242"/>
      <c r="K5" s="242"/>
    </row>
    <row r="6" spans="1:11" ht="15" x14ac:dyDescent="0.25">
      <c r="A6" s="165" t="str">
        <f>VLOOKUP(DATEN!I5,DATEN!$I$1:$J$39,IF($I$3="Deutsch", 1, 2),FALSE)</f>
        <v>Kontakt Telefon:</v>
      </c>
      <c r="B6" s="167"/>
      <c r="C6" s="212">
        <f>'Bestellung Commande'!C5</f>
        <v>0</v>
      </c>
      <c r="D6" s="212"/>
      <c r="E6" s="212"/>
      <c r="F6" s="221" t="str">
        <f>VLOOKUP(DATEN!I11,DATEN!$I$1:$J$39,IF($I$3="Deutsch", 1, 2),FALSE)</f>
        <v>Bemerkung:</v>
      </c>
      <c r="G6" s="222"/>
      <c r="H6" s="222"/>
      <c r="I6" s="222"/>
      <c r="J6" s="222"/>
      <c r="K6" s="222"/>
    </row>
    <row r="7" spans="1:11" ht="15" x14ac:dyDescent="0.25">
      <c r="A7" s="224" t="s">
        <v>4</v>
      </c>
      <c r="B7" s="224"/>
      <c r="C7" s="224"/>
      <c r="D7" s="224"/>
      <c r="E7" s="224"/>
      <c r="F7" s="225" t="str">
        <f>VLOOKUP(DATEN!I11,DATEN!$I$1:$J$39,IF($I$3="Deutsch", 1, 2),FALSE)</f>
        <v>Bemerkung:</v>
      </c>
      <c r="G7" s="225"/>
      <c r="H7" s="225"/>
      <c r="I7" s="225"/>
      <c r="J7" s="225"/>
      <c r="K7" s="225"/>
    </row>
    <row r="8" spans="1:11" ht="15" x14ac:dyDescent="0.25">
      <c r="A8" s="165" t="str">
        <f>VLOOKUP(DATEN!I6,DATEN!$I$1:$J$39,IF($I$3="Deutsch", 1, 2),FALSE)</f>
        <v>Strasse:</v>
      </c>
      <c r="B8" s="167"/>
      <c r="C8" s="212">
        <f>'Bestellung Commande'!C8</f>
        <v>0</v>
      </c>
      <c r="D8" s="212"/>
      <c r="E8" s="212"/>
      <c r="F8" s="225"/>
      <c r="G8" s="225"/>
      <c r="H8" s="225"/>
      <c r="I8" s="225"/>
      <c r="J8" s="225"/>
      <c r="K8" s="225"/>
    </row>
    <row r="9" spans="1:11" ht="15" x14ac:dyDescent="0.25">
      <c r="A9" s="165" t="str">
        <f>VLOOKUP(DATEN!I7,DATEN!$I$1:$J$39,IF($I$3="Deutsch", 1, 2),FALSE)</f>
        <v>PLZ Ort:</v>
      </c>
      <c r="B9" s="167"/>
      <c r="C9" s="212">
        <f>'Bestellung Commande'!C9</f>
        <v>0</v>
      </c>
      <c r="D9" s="212"/>
      <c r="E9" s="212"/>
      <c r="F9" s="225"/>
      <c r="G9" s="225"/>
      <c r="H9" s="225"/>
      <c r="I9" s="225"/>
      <c r="J9" s="225"/>
      <c r="K9" s="225"/>
    </row>
    <row r="10" spans="1:11" ht="15" customHeight="1" x14ac:dyDescent="0.25">
      <c r="A10" s="165" t="str">
        <f>VLOOKUP(DATEN!I8,DATEN!$I$1:$J$39,IF($I$3="Deutsch", 1, 2),FALSE)</f>
        <v>Kontakt:</v>
      </c>
      <c r="B10" s="167"/>
      <c r="C10" s="212">
        <f>'Bestellung Commande'!C10</f>
        <v>0</v>
      </c>
      <c r="D10" s="212"/>
      <c r="E10" s="212"/>
      <c r="F10" s="231" t="str" cm="1">
        <f t="array" ref="F10">IF(COUNTA('Bestellung Commande'!J27:J65)=0,"","ACHTUNG: Sonderbau in Pos:"&amp;CHAR(10)&amp; _xlfn.TEXTJOIN(", ", TRUE, _xlfn._xlws.FILTER('Bestellung Commande'!A27:A65,'Bestellung Commande'!J27:J65&lt;&gt;"")))</f>
        <v/>
      </c>
      <c r="G10" s="231"/>
      <c r="H10" s="231"/>
      <c r="I10" s="231"/>
      <c r="J10" s="231"/>
      <c r="K10" s="231"/>
    </row>
    <row r="11" spans="1:11" ht="15" customHeight="1" x14ac:dyDescent="0.25">
      <c r="A11" s="224" t="s">
        <v>5</v>
      </c>
      <c r="B11" s="224"/>
      <c r="C11" s="224"/>
      <c r="D11" s="224"/>
      <c r="E11" s="224"/>
      <c r="F11" s="231"/>
      <c r="G11" s="231"/>
      <c r="H11" s="231"/>
      <c r="I11" s="231"/>
      <c r="J11" s="231"/>
      <c r="K11" s="231"/>
    </row>
    <row r="12" spans="1:11" ht="15" x14ac:dyDescent="0.25">
      <c r="A12" s="165" t="str">
        <f>VLOOKUP(DATEN!I6,DATEN!$I$1:$J$39,IF($I$3="Deutsch", 1, 2),FALSE)</f>
        <v>Strasse:</v>
      </c>
      <c r="B12" s="167"/>
      <c r="C12" s="212">
        <f>'Bestellung Commande'!C12</f>
        <v>0</v>
      </c>
      <c r="D12" s="212"/>
      <c r="E12" s="212"/>
      <c r="F12" s="231"/>
      <c r="G12" s="231"/>
      <c r="H12" s="231"/>
      <c r="I12" s="231"/>
      <c r="J12" s="231"/>
      <c r="K12" s="231"/>
    </row>
    <row r="13" spans="1:11" ht="15" x14ac:dyDescent="0.25">
      <c r="A13" s="165" t="str">
        <f>VLOOKUP(DATEN!I7,DATEN!$I$1:$J$39,IF($I$3="Deutsch", 1, 2),FALSE)</f>
        <v>PLZ Ort:</v>
      </c>
      <c r="B13" s="167"/>
      <c r="C13" s="212">
        <f>'Bestellung Commande'!C13</f>
        <v>0</v>
      </c>
      <c r="D13" s="212"/>
      <c r="E13" s="212"/>
      <c r="F13" s="231"/>
      <c r="G13" s="231"/>
      <c r="H13" s="231"/>
      <c r="I13" s="231"/>
      <c r="J13" s="231"/>
      <c r="K13" s="231"/>
    </row>
    <row r="14" spans="1:11" ht="15" x14ac:dyDescent="0.25">
      <c r="A14" s="165" t="str">
        <f>VLOOKUP(DATEN!I8,DATEN!$I$1:$J$39,IF($I$3="Deutsch", 1, 2),FALSE)</f>
        <v>Kontakt:</v>
      </c>
      <c r="B14" s="167"/>
      <c r="C14" s="212">
        <f>'Bestellung Commande'!C14</f>
        <v>0</v>
      </c>
      <c r="D14" s="212"/>
      <c r="E14" s="212"/>
      <c r="F14" s="231"/>
      <c r="G14" s="231"/>
      <c r="H14" s="231"/>
      <c r="I14" s="231"/>
      <c r="J14" s="231"/>
      <c r="K14" s="231"/>
    </row>
    <row r="15" spans="1:11" x14ac:dyDescent="0.2">
      <c r="A15" t="str">
        <f>'Bestellung Commande'!A67</f>
        <v>V9.5</v>
      </c>
    </row>
    <row r="17" spans="1:11" ht="15" x14ac:dyDescent="0.25">
      <c r="A17" s="232" t="s">
        <v>10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</row>
    <row r="18" spans="1:11" ht="15" x14ac:dyDescent="0.25">
      <c r="A18" s="9"/>
      <c r="B18" s="25" t="s">
        <v>11</v>
      </c>
      <c r="C18" s="9" t="s">
        <v>13</v>
      </c>
      <c r="D18" s="9" t="s">
        <v>57</v>
      </c>
      <c r="E18" s="9"/>
      <c r="I18" s="9"/>
      <c r="K18" s="9"/>
    </row>
    <row r="19" spans="1:11" x14ac:dyDescent="0.2">
      <c r="A19" s="126">
        <v>1</v>
      </c>
      <c r="B19" s="237" t="s">
        <v>12</v>
      </c>
      <c r="C19" s="29">
        <f>VLOOKUP(A19,'Bestellung Commande'!$A$27:$O$65,5,FALSE)</f>
        <v>0</v>
      </c>
      <c r="D19" s="9">
        <f>VLOOKUP(A19,'Bestellung Commande'!$A$27:$O$65,4,FALSE)</f>
        <v>0</v>
      </c>
      <c r="E19" s="127" t="s">
        <v>217</v>
      </c>
      <c r="F19"/>
      <c r="G19" t="s">
        <v>219</v>
      </c>
      <c r="H19"/>
    </row>
    <row r="20" spans="1:11" x14ac:dyDescent="0.2">
      <c r="A20" s="126">
        <v>2</v>
      </c>
      <c r="B20" s="237"/>
      <c r="C20" s="29">
        <f>VLOOKUP(A20,'Bestellung Commande'!$A$27:$O$65,5,FALSE)</f>
        <v>0</v>
      </c>
      <c r="D20" s="9">
        <f>VLOOKUP(A20,'Bestellung Commande'!$A$27:$O$65,4,FALSE)</f>
        <v>0</v>
      </c>
      <c r="E20" s="127" cm="1">
        <f t="array" ref="E20">SUMPRODUCT(C19:C38/1000,D19:D38)</f>
        <v>0</v>
      </c>
      <c r="F20" s="9" t="s">
        <v>218</v>
      </c>
      <c r="G20" s="9">
        <f>ROUNDUP(E20/6,0)</f>
        <v>0</v>
      </c>
      <c r="H20"/>
    </row>
    <row r="21" spans="1:11" x14ac:dyDescent="0.2">
      <c r="A21" s="126">
        <v>3</v>
      </c>
      <c r="B21" s="237"/>
      <c r="C21" s="29">
        <f>VLOOKUP(A21,'Bestellung Commande'!$A$27:$O$65,5,FALSE)</f>
        <v>0</v>
      </c>
      <c r="D21" s="9">
        <f>VLOOKUP(A21,'Bestellung Commande'!$A$27:$O$65,4,FALSE)</f>
        <v>0</v>
      </c>
      <c r="E21" s="127"/>
      <c r="F21"/>
      <c r="G21"/>
      <c r="H21"/>
    </row>
    <row r="22" spans="1:11" x14ac:dyDescent="0.2">
      <c r="A22" s="126">
        <v>4</v>
      </c>
      <c r="B22" s="237"/>
      <c r="C22" s="29">
        <f>VLOOKUP(A22,'Bestellung Commande'!$A$27:$O$65,5,FALSE)</f>
        <v>0</v>
      </c>
      <c r="D22" s="9">
        <f>VLOOKUP(A22,'Bestellung Commande'!$A$27:$O$65,4,FALSE)</f>
        <v>0</v>
      </c>
      <c r="E22" s="127"/>
      <c r="F22"/>
      <c r="G22"/>
      <c r="H22"/>
    </row>
    <row r="23" spans="1:11" x14ac:dyDescent="0.2">
      <c r="A23" s="126">
        <v>5</v>
      </c>
      <c r="B23" s="237"/>
      <c r="C23" s="29">
        <f>VLOOKUP(A23,'Bestellung Commande'!$A$27:$O$65,5,FALSE)</f>
        <v>0</v>
      </c>
      <c r="D23" s="9">
        <f>VLOOKUP(A23,'Bestellung Commande'!$A$27:$O$65,4,FALSE)</f>
        <v>0</v>
      </c>
      <c r="E23" s="127"/>
      <c r="F23"/>
      <c r="G23"/>
      <c r="H23"/>
    </row>
    <row r="24" spans="1:11" x14ac:dyDescent="0.2">
      <c r="A24" s="126">
        <v>6</v>
      </c>
      <c r="B24" s="237"/>
      <c r="C24" s="29">
        <f>VLOOKUP(A24,'Bestellung Commande'!$A$27:$O$65,5,FALSE)</f>
        <v>0</v>
      </c>
      <c r="D24" s="9">
        <f>VLOOKUP(A24,'Bestellung Commande'!$A$27:$O$65,4,FALSE)</f>
        <v>0</v>
      </c>
      <c r="E24" s="124"/>
      <c r="F24"/>
      <c r="G24"/>
      <c r="H24"/>
    </row>
    <row r="25" spans="1:11" x14ac:dyDescent="0.2">
      <c r="A25" s="126">
        <v>7</v>
      </c>
      <c r="B25" s="237"/>
      <c r="C25" s="29">
        <f>VLOOKUP(A25,'Bestellung Commande'!$A$27:$O$65,5,FALSE)</f>
        <v>0</v>
      </c>
      <c r="D25" s="9">
        <f>VLOOKUP(A25,'Bestellung Commande'!$A$27:$O$65,4,FALSE)</f>
        <v>0</v>
      </c>
      <c r="E25" s="124"/>
      <c r="F25"/>
      <c r="G25"/>
      <c r="H25"/>
    </row>
    <row r="26" spans="1:11" x14ac:dyDescent="0.2">
      <c r="A26" s="126">
        <v>8</v>
      </c>
      <c r="B26" s="237"/>
      <c r="C26" s="29">
        <f>VLOOKUP(A26,'Bestellung Commande'!$A$27:$O$65,5,FALSE)</f>
        <v>0</v>
      </c>
      <c r="D26" s="9">
        <f>VLOOKUP(A26,'Bestellung Commande'!$A$27:$O$65,4,FALSE)</f>
        <v>0</v>
      </c>
      <c r="E26" s="124"/>
      <c r="F26"/>
      <c r="G26"/>
      <c r="H26"/>
    </row>
    <row r="27" spans="1:11" x14ac:dyDescent="0.2">
      <c r="A27" s="126">
        <v>9</v>
      </c>
      <c r="B27" s="237"/>
      <c r="C27" s="29">
        <f>VLOOKUP(A27,'Bestellung Commande'!$A$27:$O$65,5,FALSE)</f>
        <v>0</v>
      </c>
      <c r="D27" s="9">
        <f>VLOOKUP(A27,'Bestellung Commande'!$A$27:$O$65,4,FALSE)</f>
        <v>0</v>
      </c>
      <c r="E27" s="124"/>
      <c r="F27"/>
      <c r="G27"/>
      <c r="H27"/>
    </row>
    <row r="28" spans="1:11" x14ac:dyDescent="0.2">
      <c r="A28" s="126">
        <v>10</v>
      </c>
      <c r="B28" s="237"/>
      <c r="C28" s="29">
        <f>VLOOKUP(A28,'Bestellung Commande'!$A$27:$O$65,5,FALSE)</f>
        <v>0</v>
      </c>
      <c r="D28" s="9">
        <f>VLOOKUP(A28,'Bestellung Commande'!$A$27:$O$65,4,FALSE)</f>
        <v>0</v>
      </c>
      <c r="E28" s="124"/>
      <c r="F28"/>
      <c r="G28"/>
      <c r="H28"/>
    </row>
    <row r="29" spans="1:11" x14ac:dyDescent="0.2">
      <c r="A29" s="126">
        <v>11</v>
      </c>
      <c r="B29" s="237"/>
      <c r="C29" s="29">
        <f>VLOOKUP(A29,'Bestellung Commande'!$A$27:$O$65,5,FALSE)</f>
        <v>0</v>
      </c>
      <c r="D29" s="9">
        <f>VLOOKUP(A29,'Bestellung Commande'!$A$27:$O$65,4,FALSE)</f>
        <v>0</v>
      </c>
      <c r="E29" s="124"/>
      <c r="F29"/>
      <c r="G29"/>
      <c r="H29"/>
    </row>
    <row r="30" spans="1:11" x14ac:dyDescent="0.2">
      <c r="A30" s="126">
        <v>12</v>
      </c>
      <c r="B30" s="237"/>
      <c r="C30" s="29">
        <f>VLOOKUP(A30,'Bestellung Commande'!$A$27:$O$65,5,FALSE)</f>
        <v>0</v>
      </c>
      <c r="D30" s="9">
        <f>VLOOKUP(A30,'Bestellung Commande'!$A$27:$O$65,4,FALSE)</f>
        <v>0</v>
      </c>
      <c r="E30" s="124"/>
      <c r="F30"/>
      <c r="G30"/>
      <c r="H30"/>
    </row>
    <row r="31" spans="1:11" x14ac:dyDescent="0.2">
      <c r="A31" s="126">
        <v>13</v>
      </c>
      <c r="B31" s="237"/>
      <c r="C31" s="29">
        <f>VLOOKUP(A31,'Bestellung Commande'!$A$27:$O$65,5,FALSE)</f>
        <v>0</v>
      </c>
      <c r="D31" s="9">
        <f>VLOOKUP(A31,'Bestellung Commande'!$A$27:$O$65,4,FALSE)</f>
        <v>0</v>
      </c>
      <c r="E31" s="124"/>
      <c r="F31"/>
      <c r="G31"/>
      <c r="H31"/>
    </row>
    <row r="32" spans="1:11" x14ac:dyDescent="0.2">
      <c r="A32" s="126">
        <v>14</v>
      </c>
      <c r="B32" s="237"/>
      <c r="C32" s="29">
        <f>VLOOKUP(A32,'Bestellung Commande'!$A$27:$O$65,5,FALSE)</f>
        <v>0</v>
      </c>
      <c r="D32" s="9">
        <f>VLOOKUP(A32,'Bestellung Commande'!$A$27:$O$65,4,FALSE)</f>
        <v>0</v>
      </c>
      <c r="E32" s="124"/>
      <c r="F32"/>
      <c r="G32"/>
      <c r="H32"/>
    </row>
    <row r="33" spans="1:19" x14ac:dyDescent="0.2">
      <c r="A33" s="126">
        <v>15</v>
      </c>
      <c r="B33" s="237"/>
      <c r="C33" s="29">
        <f>VLOOKUP(A33,'Bestellung Commande'!$A$27:$O$65,5,FALSE)</f>
        <v>0</v>
      </c>
      <c r="D33" s="9">
        <f>VLOOKUP(A33,'Bestellung Commande'!$A$27:$O$65,4,FALSE)</f>
        <v>0</v>
      </c>
      <c r="E33" s="124"/>
      <c r="F33"/>
      <c r="G33"/>
      <c r="H33"/>
    </row>
    <row r="34" spans="1:19" x14ac:dyDescent="0.2">
      <c r="A34" s="126">
        <v>16</v>
      </c>
      <c r="B34" s="237"/>
      <c r="C34" s="29">
        <f>VLOOKUP(A34,'Bestellung Commande'!$A$27:$O$65,5,FALSE)</f>
        <v>0</v>
      </c>
      <c r="D34" s="9">
        <f>VLOOKUP(A34,'Bestellung Commande'!$A$27:$O$65,4,FALSE)</f>
        <v>0</v>
      </c>
      <c r="E34" s="124"/>
      <c r="F34"/>
      <c r="G34"/>
      <c r="H34"/>
    </row>
    <row r="35" spans="1:19" x14ac:dyDescent="0.2">
      <c r="A35" s="126">
        <v>17</v>
      </c>
      <c r="B35" s="237"/>
      <c r="C35" s="29">
        <f>VLOOKUP(A35,'Bestellung Commande'!$A$27:$O$65,5,FALSE)</f>
        <v>0</v>
      </c>
      <c r="D35" s="9">
        <f>VLOOKUP(A35,'Bestellung Commande'!$A$27:$O$65,4,FALSE)</f>
        <v>0</v>
      </c>
      <c r="E35" s="124"/>
      <c r="F35"/>
      <c r="G35"/>
      <c r="H35"/>
    </row>
    <row r="36" spans="1:19" x14ac:dyDescent="0.2">
      <c r="A36" s="126">
        <v>18</v>
      </c>
      <c r="B36" s="237"/>
      <c r="C36" s="29">
        <f>VLOOKUP(A36,'Bestellung Commande'!$A$27:$O$65,5,FALSE)</f>
        <v>0</v>
      </c>
      <c r="D36" s="9">
        <f>VLOOKUP(A36,'Bestellung Commande'!$A$27:$O$65,4,FALSE)</f>
        <v>0</v>
      </c>
      <c r="E36" s="124"/>
      <c r="F36"/>
      <c r="G36"/>
      <c r="H36"/>
    </row>
    <row r="37" spans="1:19" x14ac:dyDescent="0.2">
      <c r="A37" s="126">
        <v>19</v>
      </c>
      <c r="B37" s="237"/>
      <c r="C37" s="29">
        <f>VLOOKUP(A37,'Bestellung Commande'!$A$27:$O$65,5,FALSE)</f>
        <v>0</v>
      </c>
      <c r="D37" s="9">
        <f>VLOOKUP(A37,'Bestellung Commande'!$A$27:$O$65,4,FALSE)</f>
        <v>0</v>
      </c>
      <c r="E37" s="124"/>
      <c r="F37"/>
      <c r="G37"/>
      <c r="H37"/>
    </row>
    <row r="38" spans="1:19" x14ac:dyDescent="0.2">
      <c r="A38" s="126">
        <v>20</v>
      </c>
      <c r="B38" s="237"/>
      <c r="C38" s="29">
        <f>VLOOKUP(A38,'Bestellung Commande'!$A$27:$O$65,5,FALSE)</f>
        <v>0</v>
      </c>
      <c r="D38" s="9">
        <f>VLOOKUP(A38,'Bestellung Commande'!$A$27:$O$65,4,FALSE)</f>
        <v>0</v>
      </c>
      <c r="E38" s="124"/>
      <c r="F38"/>
      <c r="G38"/>
      <c r="H38"/>
    </row>
    <row r="39" spans="1:19" ht="15" x14ac:dyDescent="0.25">
      <c r="A39" s="232" t="s">
        <v>14</v>
      </c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Q39" t="s">
        <v>298</v>
      </c>
    </row>
    <row r="40" spans="1:19" ht="15" x14ac:dyDescent="0.25">
      <c r="B40" s="25" t="s">
        <v>11</v>
      </c>
      <c r="D40" s="9" t="s">
        <v>16</v>
      </c>
      <c r="E40" s="9" t="s">
        <v>18</v>
      </c>
      <c r="F40" s="9" t="s">
        <v>17</v>
      </c>
      <c r="G40" s="9" t="s">
        <v>57</v>
      </c>
      <c r="H40" s="9" t="s">
        <v>8</v>
      </c>
      <c r="I40" s="128" t="s">
        <v>58</v>
      </c>
      <c r="J40"/>
    </row>
    <row r="41" spans="1:19" x14ac:dyDescent="0.2">
      <c r="A41" s="126">
        <v>1</v>
      </c>
      <c r="B41" s="237" t="s">
        <v>15</v>
      </c>
      <c r="D41" s="29">
        <f>'Pos1'!$F$26</f>
        <v>20</v>
      </c>
      <c r="E41" s="29">
        <f>'Pos1'!$F$28</f>
        <v>-42</v>
      </c>
      <c r="F41" s="29">
        <f>'Pos1'!$F$27</f>
        <v>20</v>
      </c>
      <c r="G41" s="9">
        <f>'Pos1'!$D$17</f>
        <v>0</v>
      </c>
      <c r="H41" s="9">
        <f>((D41+E41+F41)*G41)/1000</f>
        <v>0</v>
      </c>
      <c r="I41" s="229" t="str">
        <f>ROUNDUP(SUM(H41:H60),1) &amp; " m1"</f>
        <v>0 m1</v>
      </c>
      <c r="J41"/>
    </row>
    <row r="42" spans="1:19" x14ac:dyDescent="0.2">
      <c r="A42" s="126">
        <v>2</v>
      </c>
      <c r="B42" s="237"/>
      <c r="D42" s="29">
        <f>'Pos2'!$F$26</f>
        <v>20</v>
      </c>
      <c r="E42" s="29">
        <f>'Pos2'!$F$28</f>
        <v>-42</v>
      </c>
      <c r="F42" s="29">
        <f>'Pos2'!$F$27</f>
        <v>20</v>
      </c>
      <c r="G42" s="9">
        <f>'Pos2'!$D$17</f>
        <v>0</v>
      </c>
      <c r="H42" s="9">
        <f t="shared" ref="H42:H60" si="0">((D42+E42+F42)*G42)/1000</f>
        <v>0</v>
      </c>
      <c r="I42" s="229"/>
      <c r="J42"/>
    </row>
    <row r="43" spans="1:19" x14ac:dyDescent="0.2">
      <c r="A43" s="126">
        <v>3</v>
      </c>
      <c r="B43" s="237"/>
      <c r="D43" s="29">
        <f>'Pos3'!$F$26</f>
        <v>20</v>
      </c>
      <c r="E43" s="29">
        <f>'Pos3'!$F$28</f>
        <v>-42</v>
      </c>
      <c r="F43" s="29">
        <f>'Pos3'!$F$27</f>
        <v>20</v>
      </c>
      <c r="G43" s="9">
        <f>'Pos3'!$D$17</f>
        <v>0</v>
      </c>
      <c r="H43" s="9">
        <f t="shared" si="0"/>
        <v>0</v>
      </c>
      <c r="I43" s="229"/>
      <c r="J43"/>
      <c r="O43" t="s">
        <v>221</v>
      </c>
      <c r="P43" t="str">
        <f>"$f$33"</f>
        <v>$f$33</v>
      </c>
      <c r="Q43" t="str">
        <f>"="&amp;O43&amp;"!"&amp;$P$43</f>
        <v>=pos1!$f$33</v>
      </c>
      <c r="S43" t="s">
        <v>264</v>
      </c>
    </row>
    <row r="44" spans="1:19" x14ac:dyDescent="0.2">
      <c r="A44" s="126">
        <v>4</v>
      </c>
      <c r="B44" s="237"/>
      <c r="D44" s="29">
        <f>'Pos4'!$F$26</f>
        <v>20</v>
      </c>
      <c r="E44" s="29">
        <f>'Pos4'!$F$28</f>
        <v>-42</v>
      </c>
      <c r="F44" s="29">
        <f>'Pos4'!$F$27</f>
        <v>20</v>
      </c>
      <c r="G44" s="9">
        <f>'Pos4'!$D$17</f>
        <v>0</v>
      </c>
      <c r="H44" s="9">
        <f t="shared" si="0"/>
        <v>0</v>
      </c>
      <c r="I44" s="229"/>
      <c r="J44"/>
      <c r="O44" t="s">
        <v>222</v>
      </c>
      <c r="Q44" t="str">
        <f t="shared" ref="Q44:Q62" si="1">"="&amp;O44&amp;"!"&amp;$P$43</f>
        <v>=pos2!$f$33</v>
      </c>
      <c r="S44" t="s">
        <v>265</v>
      </c>
    </row>
    <row r="45" spans="1:19" x14ac:dyDescent="0.2">
      <c r="A45" s="126">
        <v>5</v>
      </c>
      <c r="B45" s="237"/>
      <c r="D45" s="29">
        <f>'Pos5'!$F$26</f>
        <v>20</v>
      </c>
      <c r="E45" s="29">
        <f>'Pos5'!$F$28</f>
        <v>-42</v>
      </c>
      <c r="F45" s="29">
        <f>'Pos5'!$F$27</f>
        <v>20</v>
      </c>
      <c r="G45" s="9">
        <f>'Pos5'!$D$17</f>
        <v>0</v>
      </c>
      <c r="H45" s="9">
        <f t="shared" si="0"/>
        <v>0</v>
      </c>
      <c r="I45" s="229"/>
      <c r="J45"/>
      <c r="O45" t="s">
        <v>223</v>
      </c>
      <c r="Q45" t="str">
        <f t="shared" si="1"/>
        <v>=pos3!$f$33</v>
      </c>
      <c r="S45" t="s">
        <v>266</v>
      </c>
    </row>
    <row r="46" spans="1:19" x14ac:dyDescent="0.2">
      <c r="A46" s="126">
        <v>6</v>
      </c>
      <c r="B46" s="237"/>
      <c r="D46" s="29">
        <f>'Pos6'!$F$26</f>
        <v>20</v>
      </c>
      <c r="E46" s="29">
        <f>'Pos6'!$F$28</f>
        <v>-42</v>
      </c>
      <c r="F46" s="29">
        <f>'Pos6'!$F$27</f>
        <v>20</v>
      </c>
      <c r="G46" s="9">
        <f>'Pos6'!$D$17</f>
        <v>0</v>
      </c>
      <c r="H46" s="9">
        <f t="shared" si="0"/>
        <v>0</v>
      </c>
      <c r="I46" s="229"/>
      <c r="J46"/>
      <c r="O46" t="s">
        <v>224</v>
      </c>
      <c r="Q46" t="str">
        <f t="shared" si="1"/>
        <v>=pos4!$f$33</v>
      </c>
      <c r="S46" t="s">
        <v>267</v>
      </c>
    </row>
    <row r="47" spans="1:19" x14ac:dyDescent="0.2">
      <c r="A47" s="126">
        <v>7</v>
      </c>
      <c r="B47" s="237"/>
      <c r="D47" s="29">
        <f>'Pos7'!$F$26</f>
        <v>20</v>
      </c>
      <c r="E47" s="29">
        <f>'Pos7'!$F$28</f>
        <v>-42</v>
      </c>
      <c r="F47" s="29">
        <f>'Pos7'!$F$27</f>
        <v>20</v>
      </c>
      <c r="G47" s="9">
        <f>'Pos7'!$D$17</f>
        <v>0</v>
      </c>
      <c r="H47" s="9">
        <f t="shared" si="0"/>
        <v>0</v>
      </c>
      <c r="I47" s="229"/>
      <c r="J47"/>
      <c r="O47" t="s">
        <v>225</v>
      </c>
      <c r="Q47" t="str">
        <f t="shared" si="1"/>
        <v>=pos5!$f$33</v>
      </c>
      <c r="S47" t="s">
        <v>268</v>
      </c>
    </row>
    <row r="48" spans="1:19" x14ac:dyDescent="0.2">
      <c r="A48" s="126">
        <v>8</v>
      </c>
      <c r="B48" s="237"/>
      <c r="D48" s="29">
        <f>'Pos8'!$F$26</f>
        <v>20</v>
      </c>
      <c r="E48" s="29">
        <f>'Pos8'!$F$28</f>
        <v>-42</v>
      </c>
      <c r="F48" s="29">
        <f>'Pos8'!$F$27</f>
        <v>20</v>
      </c>
      <c r="G48" s="9">
        <f>'Pos8'!$D$17</f>
        <v>0</v>
      </c>
      <c r="H48" s="9">
        <f t="shared" si="0"/>
        <v>0</v>
      </c>
      <c r="I48" s="229"/>
      <c r="J48"/>
      <c r="O48" t="s">
        <v>226</v>
      </c>
      <c r="Q48" t="str">
        <f t="shared" si="1"/>
        <v>=pos6!$f$33</v>
      </c>
      <c r="S48" t="s">
        <v>269</v>
      </c>
    </row>
    <row r="49" spans="1:19" x14ac:dyDescent="0.2">
      <c r="A49" s="126">
        <v>9</v>
      </c>
      <c r="B49" s="237"/>
      <c r="D49" s="29">
        <f>'Pos9'!$F$26</f>
        <v>20</v>
      </c>
      <c r="E49" s="29">
        <f>'Pos9'!$F$28</f>
        <v>-42</v>
      </c>
      <c r="F49" s="29">
        <f>'Pos9'!$F$27</f>
        <v>20</v>
      </c>
      <c r="G49" s="9">
        <f>'Pos9'!$D$17</f>
        <v>0</v>
      </c>
      <c r="H49" s="9">
        <f t="shared" si="0"/>
        <v>0</v>
      </c>
      <c r="I49" s="229"/>
      <c r="J49"/>
      <c r="O49" t="s">
        <v>227</v>
      </c>
      <c r="Q49" t="str">
        <f t="shared" si="1"/>
        <v>=pos7!$f$33</v>
      </c>
      <c r="S49" t="s">
        <v>270</v>
      </c>
    </row>
    <row r="50" spans="1:19" x14ac:dyDescent="0.2">
      <c r="A50" s="126">
        <v>10</v>
      </c>
      <c r="B50" s="237"/>
      <c r="D50" s="29">
        <f>'Pos10'!$F$26</f>
        <v>20</v>
      </c>
      <c r="E50" s="29">
        <f>'Pos10'!$F$28</f>
        <v>-42</v>
      </c>
      <c r="F50" s="29">
        <f>'Pos10'!$F$27</f>
        <v>20</v>
      </c>
      <c r="G50" s="9">
        <f>'Pos10'!$D$17</f>
        <v>0</v>
      </c>
      <c r="H50" s="9">
        <f t="shared" si="0"/>
        <v>0</v>
      </c>
      <c r="I50" s="230"/>
      <c r="J50"/>
      <c r="O50" t="s">
        <v>228</v>
      </c>
      <c r="Q50" t="str">
        <f t="shared" si="1"/>
        <v>=pos8!$f$33</v>
      </c>
      <c r="S50" t="s">
        <v>271</v>
      </c>
    </row>
    <row r="51" spans="1:19" x14ac:dyDescent="0.2">
      <c r="A51" s="126">
        <v>11</v>
      </c>
      <c r="B51" s="237"/>
      <c r="D51" s="29">
        <f>'Pos11'!$F$26</f>
        <v>20</v>
      </c>
      <c r="E51" s="29">
        <f>'Pos11'!$F$28</f>
        <v>-42</v>
      </c>
      <c r="F51" s="29">
        <f>'Pos11'!$F$27</f>
        <v>20</v>
      </c>
      <c r="G51" s="9">
        <f>'Pos11'!$D$17</f>
        <v>0</v>
      </c>
      <c r="H51" s="9">
        <f t="shared" si="0"/>
        <v>0</v>
      </c>
      <c r="I51" s="226" t="s">
        <v>241</v>
      </c>
      <c r="J51"/>
      <c r="O51" t="s">
        <v>229</v>
      </c>
      <c r="Q51" t="str">
        <f t="shared" si="1"/>
        <v>=pos9!$f$33</v>
      </c>
      <c r="S51" t="s">
        <v>272</v>
      </c>
    </row>
    <row r="52" spans="1:19" x14ac:dyDescent="0.2">
      <c r="A52" s="126">
        <v>12</v>
      </c>
      <c r="B52" s="237"/>
      <c r="D52" s="29">
        <f>'Pos12'!$F$26</f>
        <v>20</v>
      </c>
      <c r="E52" s="29">
        <f>'Pos12'!$F$28</f>
        <v>-42</v>
      </c>
      <c r="F52" s="29">
        <f>'Pos12'!$F$27</f>
        <v>20</v>
      </c>
      <c r="G52" s="9">
        <f>'Pos12'!$D$17</f>
        <v>0</v>
      </c>
      <c r="H52" s="9">
        <f t="shared" si="0"/>
        <v>0</v>
      </c>
      <c r="I52" s="227"/>
      <c r="J52"/>
      <c r="O52" t="s">
        <v>230</v>
      </c>
      <c r="Q52" t="str">
        <f t="shared" si="1"/>
        <v>=pos10!$f$33</v>
      </c>
      <c r="S52" t="s">
        <v>273</v>
      </c>
    </row>
    <row r="53" spans="1:19" x14ac:dyDescent="0.2">
      <c r="A53" s="126">
        <v>13</v>
      </c>
      <c r="B53" s="237"/>
      <c r="D53" s="29">
        <f>'Pos13'!$F$26</f>
        <v>20</v>
      </c>
      <c r="E53" s="29">
        <f>'Pos13'!$F$28</f>
        <v>-42</v>
      </c>
      <c r="F53" s="29">
        <f>'Pos13'!$F$27</f>
        <v>20</v>
      </c>
      <c r="G53" s="9">
        <f>'Pos13'!$D$17</f>
        <v>0</v>
      </c>
      <c r="H53" s="9">
        <f t="shared" si="0"/>
        <v>0</v>
      </c>
      <c r="I53" s="228">
        <f>ROUNDUP(SUM(H41:H60)/6,0)</f>
        <v>0</v>
      </c>
      <c r="J53"/>
      <c r="O53" t="s">
        <v>231</v>
      </c>
      <c r="Q53" t="str">
        <f t="shared" si="1"/>
        <v>=pos11!$f$33</v>
      </c>
      <c r="S53" t="s">
        <v>274</v>
      </c>
    </row>
    <row r="54" spans="1:19" x14ac:dyDescent="0.2">
      <c r="A54" s="126">
        <v>14</v>
      </c>
      <c r="B54" s="237"/>
      <c r="D54" s="29">
        <f>'Pos14'!$F$26</f>
        <v>20</v>
      </c>
      <c r="E54" s="29">
        <f>'Pos14'!$F$28</f>
        <v>-42</v>
      </c>
      <c r="F54" s="29">
        <f>'Pos14'!$F$27</f>
        <v>20</v>
      </c>
      <c r="G54" s="9">
        <f>'Pos14'!$D$17</f>
        <v>0</v>
      </c>
      <c r="H54" s="9">
        <f t="shared" si="0"/>
        <v>0</v>
      </c>
      <c r="I54" s="229"/>
      <c r="J54"/>
      <c r="O54" t="s">
        <v>232</v>
      </c>
      <c r="Q54" t="str">
        <f t="shared" si="1"/>
        <v>=pos12!$f$33</v>
      </c>
      <c r="S54" t="s">
        <v>275</v>
      </c>
    </row>
    <row r="55" spans="1:19" x14ac:dyDescent="0.2">
      <c r="A55" s="126">
        <v>15</v>
      </c>
      <c r="B55" s="237"/>
      <c r="D55" s="29">
        <f>'Pos15'!$F$26</f>
        <v>20</v>
      </c>
      <c r="E55" s="29">
        <f>'Pos15'!$F$28</f>
        <v>-42</v>
      </c>
      <c r="F55" s="29">
        <f>'Pos15'!$F$27</f>
        <v>20</v>
      </c>
      <c r="G55" s="9">
        <f>'Pos15'!$D$17</f>
        <v>0</v>
      </c>
      <c r="H55" s="9">
        <f t="shared" si="0"/>
        <v>0</v>
      </c>
      <c r="I55" s="229"/>
      <c r="J55"/>
      <c r="O55" t="s">
        <v>233</v>
      </c>
      <c r="Q55" t="str">
        <f t="shared" si="1"/>
        <v>=pos13!$f$33</v>
      </c>
      <c r="S55" t="s">
        <v>276</v>
      </c>
    </row>
    <row r="56" spans="1:19" x14ac:dyDescent="0.2">
      <c r="A56" s="126">
        <v>16</v>
      </c>
      <c r="B56" s="237"/>
      <c r="D56" s="29">
        <f>'Pos16'!$F$26</f>
        <v>20</v>
      </c>
      <c r="E56" s="29">
        <f>'Pos16'!$F$28</f>
        <v>-42</v>
      </c>
      <c r="F56" s="29">
        <f>'Pos16'!$F$27</f>
        <v>20</v>
      </c>
      <c r="G56" s="9">
        <f>'Pos16'!$D$17</f>
        <v>0</v>
      </c>
      <c r="H56" s="9">
        <f t="shared" si="0"/>
        <v>0</v>
      </c>
      <c r="I56" s="229"/>
      <c r="J56"/>
      <c r="O56" t="s">
        <v>234</v>
      </c>
      <c r="Q56" t="str">
        <f t="shared" si="1"/>
        <v>=pos14!$f$33</v>
      </c>
      <c r="S56" t="s">
        <v>277</v>
      </c>
    </row>
    <row r="57" spans="1:19" x14ac:dyDescent="0.2">
      <c r="A57" s="126">
        <v>17</v>
      </c>
      <c r="B57" s="237"/>
      <c r="D57" s="29">
        <f>'Pos17'!$F$26</f>
        <v>20</v>
      </c>
      <c r="E57" s="29">
        <f>'Pos17'!$F$28</f>
        <v>-42</v>
      </c>
      <c r="F57" s="29">
        <f>'Pos17'!$F$27</f>
        <v>20</v>
      </c>
      <c r="G57" s="9">
        <f>'Pos17'!$D$17</f>
        <v>0</v>
      </c>
      <c r="H57" s="9">
        <f t="shared" si="0"/>
        <v>0</v>
      </c>
      <c r="I57" s="229"/>
      <c r="J57"/>
      <c r="O57" t="s">
        <v>235</v>
      </c>
      <c r="Q57" t="str">
        <f t="shared" si="1"/>
        <v>=pos15!$f$33</v>
      </c>
      <c r="S57" t="s">
        <v>278</v>
      </c>
    </row>
    <row r="58" spans="1:19" x14ac:dyDescent="0.2">
      <c r="A58" s="126">
        <v>18</v>
      </c>
      <c r="B58" s="237"/>
      <c r="D58" s="29">
        <f>'Pos18'!$F$26</f>
        <v>20</v>
      </c>
      <c r="E58" s="29">
        <f>'Pos18'!$F$28</f>
        <v>-42</v>
      </c>
      <c r="F58" s="29">
        <f>'Pos18'!$F$27</f>
        <v>20</v>
      </c>
      <c r="G58" s="9">
        <f>'Pos18'!$D$17</f>
        <v>0</v>
      </c>
      <c r="H58" s="9">
        <f t="shared" si="0"/>
        <v>0</v>
      </c>
      <c r="I58" s="229"/>
      <c r="J58"/>
      <c r="O58" t="s">
        <v>236</v>
      </c>
      <c r="Q58" t="str">
        <f t="shared" si="1"/>
        <v>=pos16!$f$33</v>
      </c>
      <c r="S58" t="s">
        <v>279</v>
      </c>
    </row>
    <row r="59" spans="1:19" x14ac:dyDescent="0.2">
      <c r="A59" s="126">
        <v>19</v>
      </c>
      <c r="B59" s="237"/>
      <c r="D59" s="29">
        <f>'Pos19'!$F$26</f>
        <v>20</v>
      </c>
      <c r="E59" s="29">
        <f>'Pos19'!$F$28</f>
        <v>-42</v>
      </c>
      <c r="F59" s="29">
        <f>'Pos19'!$F$27</f>
        <v>20</v>
      </c>
      <c r="G59" s="9">
        <f>'Pos19'!$D$17</f>
        <v>0</v>
      </c>
      <c r="H59" s="9">
        <f t="shared" si="0"/>
        <v>0</v>
      </c>
      <c r="I59" s="229"/>
      <c r="J59"/>
      <c r="O59" t="s">
        <v>237</v>
      </c>
      <c r="Q59" t="str">
        <f t="shared" si="1"/>
        <v>=pos17!$f$33</v>
      </c>
      <c r="S59" t="s">
        <v>280</v>
      </c>
    </row>
    <row r="60" spans="1:19" x14ac:dyDescent="0.2">
      <c r="A60" s="126">
        <v>20</v>
      </c>
      <c r="B60" s="237"/>
      <c r="D60" s="29">
        <f>'Pos20'!$F$26</f>
        <v>20</v>
      </c>
      <c r="E60" s="29">
        <f>'Pos20'!$F$28</f>
        <v>-42</v>
      </c>
      <c r="F60" s="29">
        <f>'Pos20'!$F$27</f>
        <v>20</v>
      </c>
      <c r="G60" s="9">
        <f>'Pos20'!$D$17</f>
        <v>0</v>
      </c>
      <c r="H60" s="9">
        <f t="shared" si="0"/>
        <v>0</v>
      </c>
      <c r="I60" s="230"/>
      <c r="J60"/>
      <c r="O60" t="s">
        <v>238</v>
      </c>
      <c r="Q60" t="str">
        <f t="shared" si="1"/>
        <v>=pos18!$f$33</v>
      </c>
      <c r="S60" t="s">
        <v>281</v>
      </c>
    </row>
    <row r="61" spans="1:19" x14ac:dyDescent="0.2">
      <c r="F61"/>
      <c r="G61"/>
      <c r="H61"/>
      <c r="O61" t="s">
        <v>239</v>
      </c>
      <c r="Q61" t="str">
        <f t="shared" si="1"/>
        <v>=pos19!$f$33</v>
      </c>
      <c r="S61" t="s">
        <v>282</v>
      </c>
    </row>
    <row r="62" spans="1:19" x14ac:dyDescent="0.2">
      <c r="F62"/>
      <c r="G62"/>
      <c r="H62"/>
      <c r="O62" t="s">
        <v>240</v>
      </c>
      <c r="Q62" t="str">
        <f t="shared" si="1"/>
        <v>=pos20!$f$33</v>
      </c>
      <c r="S62" t="s">
        <v>283</v>
      </c>
    </row>
    <row r="63" spans="1:19" ht="15" x14ac:dyDescent="0.25">
      <c r="A63" s="232" t="s">
        <v>19</v>
      </c>
      <c r="B63" s="232"/>
      <c r="C63" s="232"/>
      <c r="D63" s="232"/>
      <c r="E63" s="232"/>
      <c r="F63" s="232"/>
      <c r="G63" s="232"/>
      <c r="H63" s="232"/>
      <c r="I63" s="232"/>
      <c r="J63" s="232"/>
      <c r="K63" s="232"/>
    </row>
    <row r="64" spans="1:19" ht="15" x14ac:dyDescent="0.25">
      <c r="B64" s="25" t="s">
        <v>293</v>
      </c>
      <c r="C64" s="9" t="s">
        <v>57</v>
      </c>
      <c r="D64" s="9"/>
      <c r="E64" s="25" t="s">
        <v>294</v>
      </c>
      <c r="F64" s="9" t="s">
        <v>57</v>
      </c>
      <c r="H64" s="3" t="s">
        <v>59</v>
      </c>
      <c r="I64" s="3"/>
      <c r="J64" s="4" t="s">
        <v>57</v>
      </c>
    </row>
    <row r="65" spans="1:25" x14ac:dyDescent="0.2">
      <c r="A65" s="126">
        <v>1</v>
      </c>
      <c r="B65" s="12" t="str">
        <f>'Pos1'!$F$31</f>
        <v/>
      </c>
      <c r="C65" s="9">
        <f>'Pos1'!$F$33</f>
        <v>0</v>
      </c>
      <c r="D65" s="9"/>
      <c r="E65" s="12" t="str">
        <f>'Pos1'!$G$31</f>
        <v/>
      </c>
      <c r="F65" s="9">
        <f>'Pos1'!$G$33</f>
        <v>0</v>
      </c>
      <c r="H65" s="236" t="str">
        <f>DATEN!M7</f>
        <v>C555366</v>
      </c>
      <c r="I65" s="236"/>
      <c r="J65" s="4">
        <f t="shared" ref="J65:J67" si="2">SUMIF($E$65:$E$84,H65,$F$65:$F$84)+SUMIF($B$65:$B$84,H65,$C$65:$C$84)</f>
        <v>0</v>
      </c>
    </row>
    <row r="66" spans="1:25" x14ac:dyDescent="0.2">
      <c r="A66" s="126">
        <v>2</v>
      </c>
      <c r="B66" s="12" t="str">
        <f>'Pos2'!$F$31</f>
        <v/>
      </c>
      <c r="C66" s="9">
        <f>'Pos2'!$F$33</f>
        <v>0</v>
      </c>
      <c r="D66" s="9"/>
      <c r="E66" s="12" t="str">
        <f>'Pos2'!$G$31</f>
        <v/>
      </c>
      <c r="F66" s="9">
        <f>'Pos2'!$G$33</f>
        <v>0</v>
      </c>
      <c r="H66" s="236" t="str">
        <f>DATEN!M8</f>
        <v>C555367</v>
      </c>
      <c r="I66" s="236"/>
      <c r="J66" s="4">
        <f t="shared" si="2"/>
        <v>0</v>
      </c>
    </row>
    <row r="67" spans="1:25" x14ac:dyDescent="0.2">
      <c r="A67" s="126">
        <v>3</v>
      </c>
      <c r="B67" s="12" t="str">
        <f>'Pos3'!$F$31</f>
        <v/>
      </c>
      <c r="C67" s="9">
        <f>'Pos3'!$F$33</f>
        <v>0</v>
      </c>
      <c r="D67" s="9"/>
      <c r="E67" s="12" t="str">
        <f>'Pos3'!$G$31</f>
        <v/>
      </c>
      <c r="F67" s="9">
        <f>'Pos3'!$G$33</f>
        <v>0</v>
      </c>
      <c r="H67" s="236" t="str">
        <f>DATEN!M9</f>
        <v>C555368</v>
      </c>
      <c r="I67" s="236"/>
      <c r="J67" s="4">
        <f t="shared" si="2"/>
        <v>0</v>
      </c>
    </row>
    <row r="68" spans="1:25" x14ac:dyDescent="0.2">
      <c r="A68" s="126">
        <v>4</v>
      </c>
      <c r="B68" s="12" t="str">
        <f>'Pos4'!$F$31</f>
        <v/>
      </c>
      <c r="C68" s="9">
        <f>'Pos4'!$F$33</f>
        <v>0</v>
      </c>
      <c r="D68" s="9"/>
      <c r="E68" s="12" t="str">
        <f>'Pos4'!$G$31</f>
        <v/>
      </c>
      <c r="F68" s="9">
        <f>'Pos4'!$G$33</f>
        <v>0</v>
      </c>
      <c r="H68" s="236" t="str">
        <f>DATEN!M10</f>
        <v>C555369</v>
      </c>
      <c r="I68" s="236"/>
      <c r="J68" s="4">
        <f>SUMIF($E$65:$E$84,H68,$F$65:$F$84)+SUMIF($B$65:$B$84,H68,$C$65:$C$84)</f>
        <v>0</v>
      </c>
      <c r="O68" t="s">
        <v>242</v>
      </c>
    </row>
    <row r="69" spans="1:25" x14ac:dyDescent="0.2">
      <c r="A69" s="126">
        <v>5</v>
      </c>
      <c r="B69" s="12" t="str">
        <f>'Pos5'!$F$31</f>
        <v/>
      </c>
      <c r="C69" s="9">
        <f>'Pos5'!$F$33</f>
        <v>0</v>
      </c>
      <c r="D69" s="9"/>
      <c r="E69" s="12" t="str">
        <f>'Pos5'!$G$31</f>
        <v/>
      </c>
      <c r="F69" s="9">
        <f>'Pos5'!$G$33</f>
        <v>0</v>
      </c>
      <c r="H69" s="236" t="str">
        <f>DATEN!M11</f>
        <v>C555370</v>
      </c>
      <c r="I69" s="236"/>
      <c r="J69" s="4">
        <f t="shared" ref="J69:J72" si="3">SUMIF($E$65:$E$84,H69,$F$65:$F$84)+SUMIF($B$65:$B$84,H69,$C$65:$C$84)</f>
        <v>0</v>
      </c>
    </row>
    <row r="70" spans="1:25" x14ac:dyDescent="0.2">
      <c r="A70" s="126">
        <v>6</v>
      </c>
      <c r="B70" s="12" t="str">
        <f>'Pos6'!$F$31</f>
        <v/>
      </c>
      <c r="C70" s="9">
        <f>'Pos6'!$F$33</f>
        <v>0</v>
      </c>
      <c r="D70" s="9"/>
      <c r="E70" s="12" t="str">
        <f>'Pos6'!$G$31</f>
        <v/>
      </c>
      <c r="F70" s="9">
        <f>'Pos6'!$G$33</f>
        <v>0</v>
      </c>
      <c r="H70" s="236" t="str">
        <f>DATEN!M12</f>
        <v>C555371</v>
      </c>
      <c r="I70" s="236"/>
      <c r="J70" s="4">
        <f t="shared" si="3"/>
        <v>0</v>
      </c>
      <c r="N70">
        <v>5</v>
      </c>
    </row>
    <row r="71" spans="1:25" x14ac:dyDescent="0.2">
      <c r="A71" s="126">
        <v>7</v>
      </c>
      <c r="B71" s="12" t="str">
        <f>'Pos7'!$F$31</f>
        <v/>
      </c>
      <c r="C71" s="9">
        <f>'Pos7'!$F$33</f>
        <v>0</v>
      </c>
      <c r="D71" s="9"/>
      <c r="E71" s="12" t="str">
        <f>'Pos7'!$G$31</f>
        <v/>
      </c>
      <c r="F71" s="9">
        <f>'Pos7'!$G$33</f>
        <v>0</v>
      </c>
      <c r="H71" s="236" t="str">
        <f>DATEN!M13</f>
        <v>C555372</v>
      </c>
      <c r="I71" s="236"/>
      <c r="J71" s="4">
        <f t="shared" si="3"/>
        <v>0</v>
      </c>
      <c r="M71">
        <v>1</v>
      </c>
      <c r="N71">
        <v>3</v>
      </c>
      <c r="O71" t="s">
        <v>243</v>
      </c>
      <c r="P71" t="str">
        <f>"$AD$"&amp;N71</f>
        <v>$AD$3</v>
      </c>
      <c r="Q71" t="str">
        <f>"="&amp;O71&amp;"!"&amp;P71</f>
        <v>=DATEN!$AD$3</v>
      </c>
      <c r="R71">
        <v>5</v>
      </c>
      <c r="S71" t="str">
        <f>"$AP$"&amp;R71</f>
        <v>$AP$5</v>
      </c>
      <c r="T71" t="str">
        <f>O71&amp;"!"&amp;S71</f>
        <v>DATEN!$AP$5</v>
      </c>
      <c r="V71" t="str">
        <f>Q71&amp;"*"&amp;T71</f>
        <v>=DATEN!$AD$3*DATEN!$AP$5</v>
      </c>
      <c r="Y71" t="s">
        <v>244</v>
      </c>
    </row>
    <row r="72" spans="1:25" x14ac:dyDescent="0.2">
      <c r="A72" s="126">
        <v>8</v>
      </c>
      <c r="B72" s="12" t="str">
        <f>'Pos8'!$F$31</f>
        <v/>
      </c>
      <c r="C72" s="9">
        <f>'Pos8'!$F$33</f>
        <v>0</v>
      </c>
      <c r="D72" s="9"/>
      <c r="E72" s="12" t="str">
        <f>'Pos8'!$G$31</f>
        <v/>
      </c>
      <c r="F72" s="9">
        <f>'Pos8'!$G$33</f>
        <v>0</v>
      </c>
      <c r="H72" s="236" t="str">
        <f>DATEN!M14</f>
        <v>C555373</v>
      </c>
      <c r="I72" s="236"/>
      <c r="J72" s="4">
        <f t="shared" si="3"/>
        <v>0</v>
      </c>
      <c r="M72">
        <v>2</v>
      </c>
      <c r="N72">
        <f>N71+$N$70</f>
        <v>8</v>
      </c>
      <c r="O72" t="s">
        <v>243</v>
      </c>
      <c r="P72" t="str">
        <f>"$AD$"&amp;N72</f>
        <v>$AD$8</v>
      </c>
      <c r="Q72" t="str">
        <f>"="&amp;O72&amp;"!"&amp;P72</f>
        <v>=DATEN!$AD$8</v>
      </c>
      <c r="R72">
        <f>R71+$N$70</f>
        <v>10</v>
      </c>
      <c r="S72" t="str">
        <f t="shared" ref="S72:S90" si="4">"$AP$"&amp;R72</f>
        <v>$AP$10</v>
      </c>
      <c r="T72" t="str">
        <f t="shared" ref="T72:T90" si="5">O72&amp;"!"&amp;S72</f>
        <v>DATEN!$AP$10</v>
      </c>
      <c r="V72" t="str">
        <f>Q72&amp;"*"&amp;T72</f>
        <v>=DATEN!$AD$8*DATEN!$AP$10</v>
      </c>
      <c r="Y72" t="s">
        <v>245</v>
      </c>
    </row>
    <row r="73" spans="1:25" x14ac:dyDescent="0.2">
      <c r="A73" s="126">
        <v>9</v>
      </c>
      <c r="B73" s="12" t="str">
        <f>'Pos9'!$F$31</f>
        <v/>
      </c>
      <c r="C73" s="9">
        <f>'Pos9'!$F$33</f>
        <v>0</v>
      </c>
      <c r="D73" s="9"/>
      <c r="E73" s="12" t="str">
        <f>'Pos9'!$G$31</f>
        <v/>
      </c>
      <c r="F73" s="9">
        <f>'Pos9'!$G$33</f>
        <v>0</v>
      </c>
      <c r="G73" s="12"/>
      <c r="J73"/>
      <c r="M73">
        <v>3</v>
      </c>
      <c r="N73">
        <f t="shared" ref="N73:N90" si="6">N72+$N$70</f>
        <v>13</v>
      </c>
      <c r="O73" t="s">
        <v>243</v>
      </c>
      <c r="P73" t="str">
        <f t="shared" ref="P73:P90" si="7">"$AD$"&amp;N73</f>
        <v>$AD$13</v>
      </c>
      <c r="Q73" t="str">
        <f t="shared" ref="Q73:Q90" si="8">"="&amp;O73&amp;"!"&amp;P73</f>
        <v>=DATEN!$AD$13</v>
      </c>
      <c r="R73">
        <f t="shared" ref="R73:R90" si="9">R72+$N$70</f>
        <v>15</v>
      </c>
      <c r="S73" t="str">
        <f t="shared" si="4"/>
        <v>$AP$15</v>
      </c>
      <c r="T73" t="str">
        <f t="shared" si="5"/>
        <v>DATEN!$AP$15</v>
      </c>
      <c r="V73" t="str">
        <f t="shared" ref="V73:V90" si="10">Q73&amp;"*"&amp;T73</f>
        <v>=DATEN!$AD$13*DATEN!$AP$15</v>
      </c>
      <c r="Y73" t="s">
        <v>246</v>
      </c>
    </row>
    <row r="74" spans="1:25" x14ac:dyDescent="0.2">
      <c r="A74" s="126">
        <v>10</v>
      </c>
      <c r="B74" s="12" t="str">
        <f>'Pos10'!$F$31</f>
        <v/>
      </c>
      <c r="C74" s="9">
        <f>'Pos10'!$F$33</f>
        <v>0</v>
      </c>
      <c r="D74" s="9"/>
      <c r="E74" s="12" t="str">
        <f>'Pos10'!$G$31</f>
        <v/>
      </c>
      <c r="F74" s="9">
        <f>'Pos10'!$G$33</f>
        <v>0</v>
      </c>
      <c r="G74" s="12"/>
      <c r="J74"/>
      <c r="M74">
        <v>4</v>
      </c>
      <c r="N74">
        <f t="shared" si="6"/>
        <v>18</v>
      </c>
      <c r="O74" t="s">
        <v>243</v>
      </c>
      <c r="P74" t="str">
        <f t="shared" si="7"/>
        <v>$AD$18</v>
      </c>
      <c r="Q74" t="str">
        <f t="shared" si="8"/>
        <v>=DATEN!$AD$18</v>
      </c>
      <c r="R74">
        <f t="shared" si="9"/>
        <v>20</v>
      </c>
      <c r="S74" t="str">
        <f t="shared" si="4"/>
        <v>$AP$20</v>
      </c>
      <c r="T74" t="str">
        <f t="shared" si="5"/>
        <v>DATEN!$AP$20</v>
      </c>
      <c r="V74" t="str">
        <f t="shared" si="10"/>
        <v>=DATEN!$AD$18*DATEN!$AP$20</v>
      </c>
      <c r="Y74" t="s">
        <v>247</v>
      </c>
    </row>
    <row r="75" spans="1:25" x14ac:dyDescent="0.2">
      <c r="A75" s="126">
        <v>11</v>
      </c>
      <c r="B75" s="12" t="str">
        <f>'Pos11'!$F$31</f>
        <v/>
      </c>
      <c r="C75" s="9">
        <f>'Pos11'!$F$33</f>
        <v>0</v>
      </c>
      <c r="D75" s="9"/>
      <c r="E75" s="12" t="str">
        <f>'Pos11'!$G$31</f>
        <v/>
      </c>
      <c r="F75" s="9">
        <f>'Pos11'!$G$33</f>
        <v>0</v>
      </c>
      <c r="G75" s="12"/>
      <c r="J75"/>
      <c r="M75">
        <v>5</v>
      </c>
      <c r="N75">
        <f t="shared" si="6"/>
        <v>23</v>
      </c>
      <c r="O75" t="s">
        <v>243</v>
      </c>
      <c r="P75" t="str">
        <f t="shared" si="7"/>
        <v>$AD$23</v>
      </c>
      <c r="Q75" t="str">
        <f t="shared" si="8"/>
        <v>=DATEN!$AD$23</v>
      </c>
      <c r="R75">
        <f t="shared" si="9"/>
        <v>25</v>
      </c>
      <c r="S75" t="str">
        <f t="shared" si="4"/>
        <v>$AP$25</v>
      </c>
      <c r="T75" t="str">
        <f t="shared" si="5"/>
        <v>DATEN!$AP$25</v>
      </c>
      <c r="V75" t="str">
        <f t="shared" si="10"/>
        <v>=DATEN!$AD$23*DATEN!$AP$25</v>
      </c>
      <c r="Y75" t="s">
        <v>248</v>
      </c>
    </row>
    <row r="76" spans="1:25" x14ac:dyDescent="0.2">
      <c r="A76" s="126">
        <v>12</v>
      </c>
      <c r="B76" s="12" t="str">
        <f>'Pos12'!$F$31</f>
        <v/>
      </c>
      <c r="C76" s="9">
        <f>'Pos12'!$F$33</f>
        <v>0</v>
      </c>
      <c r="D76" s="9"/>
      <c r="E76" s="12" t="str">
        <f>'Pos12'!$G$31</f>
        <v/>
      </c>
      <c r="F76" s="9">
        <f>'Pos12'!$G$33</f>
        <v>0</v>
      </c>
      <c r="G76" s="12"/>
      <c r="J76"/>
      <c r="M76">
        <v>6</v>
      </c>
      <c r="N76">
        <f t="shared" si="6"/>
        <v>28</v>
      </c>
      <c r="O76" t="s">
        <v>243</v>
      </c>
      <c r="P76" t="str">
        <f t="shared" si="7"/>
        <v>$AD$28</v>
      </c>
      <c r="Q76" t="str">
        <f t="shared" si="8"/>
        <v>=DATEN!$AD$28</v>
      </c>
      <c r="R76">
        <f t="shared" si="9"/>
        <v>30</v>
      </c>
      <c r="S76" t="str">
        <f t="shared" si="4"/>
        <v>$AP$30</v>
      </c>
      <c r="T76" t="str">
        <f t="shared" si="5"/>
        <v>DATEN!$AP$30</v>
      </c>
      <c r="V76" t="str">
        <f t="shared" si="10"/>
        <v>=DATEN!$AD$28*DATEN!$AP$30</v>
      </c>
      <c r="Y76" t="s">
        <v>249</v>
      </c>
    </row>
    <row r="77" spans="1:25" x14ac:dyDescent="0.2">
      <c r="A77" s="126">
        <v>13</v>
      </c>
      <c r="B77" s="12" t="str">
        <f>'Pos13'!$F$31</f>
        <v/>
      </c>
      <c r="C77" s="9">
        <f>'Pos13'!$F$33</f>
        <v>0</v>
      </c>
      <c r="D77" s="9"/>
      <c r="E77" s="12" t="str">
        <f>'Pos13'!$G$31</f>
        <v/>
      </c>
      <c r="F77" s="9">
        <f>'Pos13'!$G$33</f>
        <v>0</v>
      </c>
      <c r="G77" s="12"/>
      <c r="J77"/>
      <c r="M77">
        <v>7</v>
      </c>
      <c r="N77">
        <f t="shared" si="6"/>
        <v>33</v>
      </c>
      <c r="O77" t="s">
        <v>243</v>
      </c>
      <c r="P77" t="str">
        <f t="shared" si="7"/>
        <v>$AD$33</v>
      </c>
      <c r="Q77" t="str">
        <f t="shared" si="8"/>
        <v>=DATEN!$AD$33</v>
      </c>
      <c r="R77">
        <f t="shared" si="9"/>
        <v>35</v>
      </c>
      <c r="S77" t="str">
        <f t="shared" si="4"/>
        <v>$AP$35</v>
      </c>
      <c r="T77" t="str">
        <f t="shared" si="5"/>
        <v>DATEN!$AP$35</v>
      </c>
      <c r="V77" t="str">
        <f t="shared" si="10"/>
        <v>=DATEN!$AD$33*DATEN!$AP$35</v>
      </c>
      <c r="Y77" t="s">
        <v>250</v>
      </c>
    </row>
    <row r="78" spans="1:25" x14ac:dyDescent="0.2">
      <c r="A78" s="126">
        <v>14</v>
      </c>
      <c r="B78" s="12" t="str">
        <f>'Pos14'!$F$31</f>
        <v/>
      </c>
      <c r="C78" s="9">
        <f>'Pos14'!$F$33</f>
        <v>0</v>
      </c>
      <c r="D78" s="9"/>
      <c r="E78" s="12" t="str">
        <f>'Pos14'!$G$31</f>
        <v/>
      </c>
      <c r="F78" s="9">
        <f>'Pos14'!$G$33</f>
        <v>0</v>
      </c>
      <c r="G78" s="12"/>
      <c r="J78"/>
      <c r="M78">
        <v>8</v>
      </c>
      <c r="N78">
        <f t="shared" si="6"/>
        <v>38</v>
      </c>
      <c r="O78" t="s">
        <v>243</v>
      </c>
      <c r="P78" t="str">
        <f t="shared" si="7"/>
        <v>$AD$38</v>
      </c>
      <c r="Q78" t="str">
        <f t="shared" si="8"/>
        <v>=DATEN!$AD$38</v>
      </c>
      <c r="R78">
        <f t="shared" si="9"/>
        <v>40</v>
      </c>
      <c r="S78" t="str">
        <f t="shared" si="4"/>
        <v>$AP$40</v>
      </c>
      <c r="T78" t="str">
        <f t="shared" si="5"/>
        <v>DATEN!$AP$40</v>
      </c>
      <c r="V78" t="str">
        <f t="shared" si="10"/>
        <v>=DATEN!$AD$38*DATEN!$AP$40</v>
      </c>
      <c r="Y78" t="s">
        <v>251</v>
      </c>
    </row>
    <row r="79" spans="1:25" x14ac:dyDescent="0.2">
      <c r="A79" s="126">
        <v>15</v>
      </c>
      <c r="B79" s="12" t="str">
        <f>'Pos15'!$F$31</f>
        <v/>
      </c>
      <c r="C79" s="9">
        <f>'Pos15'!$F$33</f>
        <v>0</v>
      </c>
      <c r="D79" s="9"/>
      <c r="E79" s="12" t="str">
        <f>'Pos15'!$G$31</f>
        <v/>
      </c>
      <c r="F79" s="9">
        <f>'Pos15'!$G$33</f>
        <v>0</v>
      </c>
      <c r="G79" s="12"/>
      <c r="J79"/>
      <c r="M79">
        <v>9</v>
      </c>
      <c r="N79">
        <f t="shared" si="6"/>
        <v>43</v>
      </c>
      <c r="O79" t="s">
        <v>243</v>
      </c>
      <c r="P79" t="str">
        <f t="shared" si="7"/>
        <v>$AD$43</v>
      </c>
      <c r="Q79" t="str">
        <f t="shared" si="8"/>
        <v>=DATEN!$AD$43</v>
      </c>
      <c r="R79">
        <f t="shared" si="9"/>
        <v>45</v>
      </c>
      <c r="S79" t="str">
        <f t="shared" si="4"/>
        <v>$AP$45</v>
      </c>
      <c r="T79" t="str">
        <f t="shared" si="5"/>
        <v>DATEN!$AP$45</v>
      </c>
      <c r="V79" t="str">
        <f t="shared" si="10"/>
        <v>=DATEN!$AD$43*DATEN!$AP$45</v>
      </c>
      <c r="Y79" t="s">
        <v>252</v>
      </c>
    </row>
    <row r="80" spans="1:25" x14ac:dyDescent="0.2">
      <c r="A80" s="126">
        <v>16</v>
      </c>
      <c r="B80" s="12" t="str">
        <f>'Pos16'!$F$31</f>
        <v/>
      </c>
      <c r="C80" s="9">
        <f>'Pos16'!$F$33</f>
        <v>0</v>
      </c>
      <c r="D80" s="9"/>
      <c r="E80" s="12" t="str">
        <f>'Pos16'!$G$31</f>
        <v/>
      </c>
      <c r="F80" s="9">
        <f>'Pos16'!$G$33</f>
        <v>0</v>
      </c>
      <c r="G80" s="12"/>
      <c r="J80"/>
      <c r="M80">
        <v>10</v>
      </c>
      <c r="N80">
        <f t="shared" si="6"/>
        <v>48</v>
      </c>
      <c r="O80" t="s">
        <v>243</v>
      </c>
      <c r="P80" t="str">
        <f t="shared" si="7"/>
        <v>$AD$48</v>
      </c>
      <c r="Q80" t="str">
        <f t="shared" si="8"/>
        <v>=DATEN!$AD$48</v>
      </c>
      <c r="R80">
        <f t="shared" si="9"/>
        <v>50</v>
      </c>
      <c r="S80" t="str">
        <f t="shared" si="4"/>
        <v>$AP$50</v>
      </c>
      <c r="T80" t="str">
        <f t="shared" si="5"/>
        <v>DATEN!$AP$50</v>
      </c>
      <c r="V80" t="str">
        <f t="shared" si="10"/>
        <v>=DATEN!$AD$48*DATEN!$AP$50</v>
      </c>
      <c r="Y80" t="s">
        <v>253</v>
      </c>
    </row>
    <row r="81" spans="1:25" x14ac:dyDescent="0.2">
      <c r="A81" s="126">
        <v>17</v>
      </c>
      <c r="B81" s="12" t="str">
        <f>'Pos17'!$F$31</f>
        <v/>
      </c>
      <c r="C81" s="9">
        <f>'Pos17'!$F$33</f>
        <v>0</v>
      </c>
      <c r="D81" s="9"/>
      <c r="E81" s="12" t="str">
        <f>'Pos17'!$G$31</f>
        <v/>
      </c>
      <c r="F81" s="9">
        <f>'Pos17'!$G$33</f>
        <v>0</v>
      </c>
      <c r="G81" s="12"/>
      <c r="J81"/>
      <c r="M81">
        <v>11</v>
      </c>
      <c r="N81">
        <f t="shared" si="6"/>
        <v>53</v>
      </c>
      <c r="O81" t="s">
        <v>243</v>
      </c>
      <c r="P81" t="str">
        <f t="shared" si="7"/>
        <v>$AD$53</v>
      </c>
      <c r="Q81" t="str">
        <f t="shared" si="8"/>
        <v>=DATEN!$AD$53</v>
      </c>
      <c r="R81">
        <f t="shared" si="9"/>
        <v>55</v>
      </c>
      <c r="S81" t="str">
        <f t="shared" si="4"/>
        <v>$AP$55</v>
      </c>
      <c r="T81" t="str">
        <f t="shared" si="5"/>
        <v>DATEN!$AP$55</v>
      </c>
      <c r="V81" t="str">
        <f t="shared" si="10"/>
        <v>=DATEN!$AD$53*DATEN!$AP$55</v>
      </c>
      <c r="Y81" t="s">
        <v>254</v>
      </c>
    </row>
    <row r="82" spans="1:25" x14ac:dyDescent="0.2">
      <c r="A82" s="126">
        <v>18</v>
      </c>
      <c r="B82" s="12" t="str">
        <f>'Pos18'!$F$31</f>
        <v/>
      </c>
      <c r="C82" s="9">
        <f>'Pos18'!$F$33</f>
        <v>0</v>
      </c>
      <c r="D82" s="9"/>
      <c r="E82" s="12" t="str">
        <f>'Pos18'!$G$31</f>
        <v/>
      </c>
      <c r="F82" s="9">
        <f>'Pos18'!$G$33</f>
        <v>0</v>
      </c>
      <c r="G82" s="12"/>
      <c r="J82"/>
      <c r="M82">
        <v>12</v>
      </c>
      <c r="N82">
        <f t="shared" si="6"/>
        <v>58</v>
      </c>
      <c r="O82" t="s">
        <v>243</v>
      </c>
      <c r="P82" t="str">
        <f t="shared" si="7"/>
        <v>$AD$58</v>
      </c>
      <c r="Q82" t="str">
        <f t="shared" si="8"/>
        <v>=DATEN!$AD$58</v>
      </c>
      <c r="R82">
        <f t="shared" si="9"/>
        <v>60</v>
      </c>
      <c r="S82" t="str">
        <f t="shared" si="4"/>
        <v>$AP$60</v>
      </c>
      <c r="T82" t="str">
        <f t="shared" si="5"/>
        <v>DATEN!$AP$60</v>
      </c>
      <c r="V82" t="str">
        <f t="shared" si="10"/>
        <v>=DATEN!$AD$58*DATEN!$AP$60</v>
      </c>
      <c r="Y82" t="s">
        <v>255</v>
      </c>
    </row>
    <row r="83" spans="1:25" x14ac:dyDescent="0.2">
      <c r="A83" s="126">
        <v>19</v>
      </c>
      <c r="B83" s="12" t="str">
        <f>'Pos19'!$F$31</f>
        <v/>
      </c>
      <c r="C83" s="9">
        <f>'Pos19'!$F$33</f>
        <v>0</v>
      </c>
      <c r="D83" s="9"/>
      <c r="E83" s="12" t="str">
        <f>'Pos19'!$G$31</f>
        <v/>
      </c>
      <c r="F83" s="9">
        <f>'Pos19'!$G$33</f>
        <v>0</v>
      </c>
      <c r="G83" s="12"/>
      <c r="J83"/>
      <c r="M83">
        <v>13</v>
      </c>
      <c r="N83">
        <f t="shared" si="6"/>
        <v>63</v>
      </c>
      <c r="O83" t="s">
        <v>243</v>
      </c>
      <c r="P83" t="str">
        <f t="shared" si="7"/>
        <v>$AD$63</v>
      </c>
      <c r="Q83" t="str">
        <f t="shared" si="8"/>
        <v>=DATEN!$AD$63</v>
      </c>
      <c r="R83">
        <f t="shared" si="9"/>
        <v>65</v>
      </c>
      <c r="S83" t="str">
        <f t="shared" si="4"/>
        <v>$AP$65</v>
      </c>
      <c r="T83" t="str">
        <f t="shared" si="5"/>
        <v>DATEN!$AP$65</v>
      </c>
      <c r="V83" t="str">
        <f t="shared" si="10"/>
        <v>=DATEN!$AD$63*DATEN!$AP$65</v>
      </c>
      <c r="Y83" t="s">
        <v>256</v>
      </c>
    </row>
    <row r="84" spans="1:25" x14ac:dyDescent="0.2">
      <c r="A84" s="126">
        <v>20</v>
      </c>
      <c r="B84" s="12" t="str">
        <f>'Pos20'!$F$31</f>
        <v/>
      </c>
      <c r="C84" s="9">
        <f>'Pos20'!$F$33</f>
        <v>0</v>
      </c>
      <c r="D84" s="9"/>
      <c r="E84" s="12" t="str">
        <f>'Pos20'!$G$31</f>
        <v/>
      </c>
      <c r="F84" s="9">
        <f>'Pos20'!$G$33</f>
        <v>0</v>
      </c>
      <c r="G84" s="12"/>
      <c r="J84"/>
      <c r="M84">
        <v>14</v>
      </c>
      <c r="N84">
        <f t="shared" si="6"/>
        <v>68</v>
      </c>
      <c r="O84" t="s">
        <v>243</v>
      </c>
      <c r="P84" t="str">
        <f t="shared" si="7"/>
        <v>$AD$68</v>
      </c>
      <c r="Q84" t="str">
        <f t="shared" si="8"/>
        <v>=DATEN!$AD$68</v>
      </c>
      <c r="R84">
        <f t="shared" si="9"/>
        <v>70</v>
      </c>
      <c r="S84" t="str">
        <f t="shared" si="4"/>
        <v>$AP$70</v>
      </c>
      <c r="T84" t="str">
        <f t="shared" si="5"/>
        <v>DATEN!$AP$70</v>
      </c>
      <c r="V84" t="str">
        <f t="shared" si="10"/>
        <v>=DATEN!$AD$68*DATEN!$AP$70</v>
      </c>
      <c r="Y84" t="s">
        <v>257</v>
      </c>
    </row>
    <row r="85" spans="1:25" x14ac:dyDescent="0.2">
      <c r="F85" s="12"/>
      <c r="G85" s="12"/>
      <c r="J85"/>
      <c r="M85">
        <v>15</v>
      </c>
      <c r="N85">
        <f t="shared" si="6"/>
        <v>73</v>
      </c>
      <c r="O85" t="s">
        <v>243</v>
      </c>
      <c r="P85" t="str">
        <f t="shared" si="7"/>
        <v>$AD$73</v>
      </c>
      <c r="Q85" t="str">
        <f t="shared" si="8"/>
        <v>=DATEN!$AD$73</v>
      </c>
      <c r="R85">
        <f t="shared" si="9"/>
        <v>75</v>
      </c>
      <c r="S85" t="str">
        <f t="shared" si="4"/>
        <v>$AP$75</v>
      </c>
      <c r="T85" t="str">
        <f t="shared" si="5"/>
        <v>DATEN!$AP$75</v>
      </c>
      <c r="V85" t="str">
        <f t="shared" si="10"/>
        <v>=DATEN!$AD$73*DATEN!$AP$75</v>
      </c>
      <c r="Y85" t="s">
        <v>258</v>
      </c>
    </row>
    <row r="86" spans="1:25" ht="15" x14ac:dyDescent="0.25">
      <c r="A86" s="232" t="s">
        <v>51</v>
      </c>
      <c r="B86" s="232"/>
      <c r="C86" s="232"/>
      <c r="D86" s="232"/>
      <c r="E86" s="232"/>
      <c r="F86" s="232"/>
      <c r="G86" s="232"/>
      <c r="H86" s="232"/>
      <c r="I86" s="232"/>
      <c r="J86" s="232"/>
      <c r="K86" s="232"/>
      <c r="M86">
        <v>16</v>
      </c>
      <c r="N86">
        <f t="shared" si="6"/>
        <v>78</v>
      </c>
      <c r="O86" t="s">
        <v>243</v>
      </c>
      <c r="P86" t="str">
        <f t="shared" si="7"/>
        <v>$AD$78</v>
      </c>
      <c r="Q86" t="str">
        <f t="shared" si="8"/>
        <v>=DATEN!$AD$78</v>
      </c>
      <c r="R86">
        <f t="shared" si="9"/>
        <v>80</v>
      </c>
      <c r="S86" t="str">
        <f t="shared" si="4"/>
        <v>$AP$80</v>
      </c>
      <c r="T86" t="str">
        <f t="shared" si="5"/>
        <v>DATEN!$AP$80</v>
      </c>
      <c r="V86" t="str">
        <f t="shared" si="10"/>
        <v>=DATEN!$AD$78*DATEN!$AP$80</v>
      </c>
      <c r="Y86" t="s">
        <v>259</v>
      </c>
    </row>
    <row r="87" spans="1:25" x14ac:dyDescent="0.2">
      <c r="A87" s="3"/>
      <c r="B87" s="3"/>
      <c r="C87" s="3"/>
      <c r="D87" s="223" t="s">
        <v>60</v>
      </c>
      <c r="E87" s="223"/>
      <c r="F87" s="223"/>
      <c r="G87" s="223"/>
      <c r="H87"/>
      <c r="J87"/>
      <c r="M87">
        <v>17</v>
      </c>
      <c r="N87">
        <f t="shared" si="6"/>
        <v>83</v>
      </c>
      <c r="O87" t="s">
        <v>243</v>
      </c>
      <c r="P87" t="str">
        <f t="shared" si="7"/>
        <v>$AD$83</v>
      </c>
      <c r="Q87" t="str">
        <f t="shared" si="8"/>
        <v>=DATEN!$AD$83</v>
      </c>
      <c r="R87">
        <f t="shared" si="9"/>
        <v>85</v>
      </c>
      <c r="S87" t="str">
        <f t="shared" si="4"/>
        <v>$AP$85</v>
      </c>
      <c r="T87" t="str">
        <f t="shared" si="5"/>
        <v>DATEN!$AP$85</v>
      </c>
      <c r="V87" t="str">
        <f t="shared" si="10"/>
        <v>=DATEN!$AD$83*DATEN!$AP$85</v>
      </c>
      <c r="Y87" t="s">
        <v>260</v>
      </c>
    </row>
    <row r="88" spans="1:25" x14ac:dyDescent="0.2">
      <c r="A88" s="3"/>
      <c r="B88" s="3"/>
      <c r="C88" s="3"/>
      <c r="D88" s="1">
        <v>1</v>
      </c>
      <c r="E88" s="1">
        <v>2</v>
      </c>
      <c r="F88" s="1">
        <v>3</v>
      </c>
      <c r="G88" s="4">
        <v>4</v>
      </c>
      <c r="H88"/>
      <c r="I88" s="38" t="s">
        <v>61</v>
      </c>
      <c r="J88"/>
      <c r="M88">
        <v>18</v>
      </c>
      <c r="N88">
        <f t="shared" si="6"/>
        <v>88</v>
      </c>
      <c r="O88" t="s">
        <v>243</v>
      </c>
      <c r="P88" t="str">
        <f t="shared" si="7"/>
        <v>$AD$88</v>
      </c>
      <c r="Q88" t="str">
        <f t="shared" si="8"/>
        <v>=DATEN!$AD$88</v>
      </c>
      <c r="R88">
        <f t="shared" si="9"/>
        <v>90</v>
      </c>
      <c r="S88" t="str">
        <f t="shared" si="4"/>
        <v>$AP$90</v>
      </c>
      <c r="T88" t="str">
        <f t="shared" si="5"/>
        <v>DATEN!$AP$90</v>
      </c>
      <c r="V88" t="str">
        <f t="shared" si="10"/>
        <v>=DATEN!$AD$88*DATEN!$AP$90</v>
      </c>
      <c r="Y88" t="s">
        <v>261</v>
      </c>
    </row>
    <row r="89" spans="1:25" x14ac:dyDescent="0.2">
      <c r="A89" s="3" t="s">
        <v>62</v>
      </c>
      <c r="B89" s="4" t="s">
        <v>13</v>
      </c>
      <c r="C89" s="4" t="s">
        <v>57</v>
      </c>
      <c r="D89" s="4" t="s">
        <v>11</v>
      </c>
      <c r="E89" s="4" t="s">
        <v>11</v>
      </c>
      <c r="F89" s="4" t="s">
        <v>11</v>
      </c>
      <c r="G89" s="4" t="s">
        <v>11</v>
      </c>
      <c r="I89" s="38"/>
      <c r="J89"/>
      <c r="M89">
        <v>19</v>
      </c>
      <c r="N89">
        <f t="shared" si="6"/>
        <v>93</v>
      </c>
      <c r="O89" t="s">
        <v>243</v>
      </c>
      <c r="P89" t="str">
        <f t="shared" si="7"/>
        <v>$AD$93</v>
      </c>
      <c r="Q89" t="str">
        <f t="shared" si="8"/>
        <v>=DATEN!$AD$93</v>
      </c>
      <c r="R89">
        <f t="shared" si="9"/>
        <v>95</v>
      </c>
      <c r="S89" t="str">
        <f t="shared" si="4"/>
        <v>$AP$95</v>
      </c>
      <c r="T89" t="str">
        <f t="shared" si="5"/>
        <v>DATEN!$AP$95</v>
      </c>
      <c r="V89" t="str">
        <f t="shared" si="10"/>
        <v>=DATEN!$AD$93*DATEN!$AP$95</v>
      </c>
      <c r="Y89" t="s">
        <v>262</v>
      </c>
    </row>
    <row r="90" spans="1:25" x14ac:dyDescent="0.2">
      <c r="A90" s="126">
        <v>1</v>
      </c>
      <c r="B90" s="29">
        <f>VLOOKUP(A90,'Bestellung Commande'!$A$27:$O$65,6,FALSE)</f>
        <v>0</v>
      </c>
      <c r="C90" s="9">
        <f>'Pos1'!$D$17</f>
        <v>0</v>
      </c>
      <c r="D90" s="9">
        <f>'Pos1'!$D$55</f>
        <v>0</v>
      </c>
      <c r="E90" s="9">
        <f>'Pos1'!$D$56</f>
        <v>0</v>
      </c>
      <c r="F90" s="9">
        <f>'Pos1'!$D$57</f>
        <v>0</v>
      </c>
      <c r="G90" s="9">
        <f>'Pos1'!$D$58</f>
        <v>0</v>
      </c>
      <c r="H90"/>
      <c r="I90" s="38">
        <f>B90*C90</f>
        <v>0</v>
      </c>
      <c r="J90"/>
      <c r="M90">
        <v>20</v>
      </c>
      <c r="N90">
        <f t="shared" si="6"/>
        <v>98</v>
      </c>
      <c r="O90" t="s">
        <v>243</v>
      </c>
      <c r="P90" t="str">
        <f t="shared" si="7"/>
        <v>$AD$98</v>
      </c>
      <c r="Q90" t="str">
        <f t="shared" si="8"/>
        <v>=DATEN!$AD$98</v>
      </c>
      <c r="R90">
        <f t="shared" si="9"/>
        <v>100</v>
      </c>
      <c r="S90" t="str">
        <f t="shared" si="4"/>
        <v>$AP$100</v>
      </c>
      <c r="T90" t="str">
        <f t="shared" si="5"/>
        <v>DATEN!$AP$100</v>
      </c>
      <c r="V90" t="str">
        <f t="shared" si="10"/>
        <v>=DATEN!$AD$98*DATEN!$AP$100</v>
      </c>
      <c r="Y90" t="s">
        <v>263</v>
      </c>
    </row>
    <row r="91" spans="1:25" x14ac:dyDescent="0.2">
      <c r="A91" s="126">
        <v>2</v>
      </c>
      <c r="B91" s="29">
        <f>VLOOKUP(A91,'Bestellung Commande'!$A$27:$O$65,6,FALSE)</f>
        <v>0</v>
      </c>
      <c r="C91" s="9">
        <f>'Pos2'!$D$17</f>
        <v>0</v>
      </c>
      <c r="D91" s="9">
        <f>'Pos2'!$D$55</f>
        <v>0</v>
      </c>
      <c r="E91" s="9">
        <f>'Pos2'!$D$56</f>
        <v>0</v>
      </c>
      <c r="F91" s="9">
        <f>'Pos2'!$D$57</f>
        <v>0</v>
      </c>
      <c r="G91" s="9">
        <f>'Pos2'!$D$58</f>
        <v>0</v>
      </c>
      <c r="H91"/>
      <c r="I91" s="38">
        <f t="shared" ref="I91:I94" si="11">B91*C91</f>
        <v>0</v>
      </c>
      <c r="J91"/>
    </row>
    <row r="92" spans="1:25" x14ac:dyDescent="0.2">
      <c r="A92" s="126">
        <v>3</v>
      </c>
      <c r="B92" s="29">
        <f>VLOOKUP(A92,'Bestellung Commande'!$A$27:$O$65,6,FALSE)</f>
        <v>0</v>
      </c>
      <c r="C92" s="9">
        <f>'Pos3'!$D$17</f>
        <v>0</v>
      </c>
      <c r="D92" s="9">
        <f>'Pos3'!$D$55</f>
        <v>0</v>
      </c>
      <c r="E92" s="9">
        <f>'Pos3'!$D$56</f>
        <v>0</v>
      </c>
      <c r="F92" s="9">
        <f>'Pos3'!$D$57</f>
        <v>0</v>
      </c>
      <c r="G92" s="9">
        <f>'Pos3'!$D$58</f>
        <v>0</v>
      </c>
      <c r="H92"/>
      <c r="I92" s="38">
        <f t="shared" si="11"/>
        <v>0</v>
      </c>
      <c r="J92"/>
    </row>
    <row r="93" spans="1:25" x14ac:dyDescent="0.2">
      <c r="A93" s="126">
        <v>4</v>
      </c>
      <c r="B93" s="29">
        <f>VLOOKUP(A93,'Bestellung Commande'!$A$27:$O$65,6,FALSE)</f>
        <v>0</v>
      </c>
      <c r="C93" s="9">
        <f>'Pos4'!$D$17</f>
        <v>0</v>
      </c>
      <c r="D93" s="9">
        <f>'Pos4'!$D$55</f>
        <v>0</v>
      </c>
      <c r="E93" s="9">
        <f>'Pos4'!$D$56</f>
        <v>0</v>
      </c>
      <c r="F93" s="9">
        <f>'Pos4'!$D$57</f>
        <v>0</v>
      </c>
      <c r="G93" s="9">
        <f>'Pos4'!$D$58</f>
        <v>0</v>
      </c>
      <c r="H93"/>
      <c r="I93" s="38">
        <f t="shared" si="11"/>
        <v>0</v>
      </c>
    </row>
    <row r="94" spans="1:25" x14ac:dyDescent="0.2">
      <c r="A94" s="126">
        <v>5</v>
      </c>
      <c r="B94" s="29">
        <f>VLOOKUP(A94,'Bestellung Commande'!$A$27:$O$65,6,FALSE)</f>
        <v>0</v>
      </c>
      <c r="C94" s="9">
        <f>'Pos5'!$D$17</f>
        <v>0</v>
      </c>
      <c r="D94" s="9">
        <f>'Pos5'!$D$55</f>
        <v>0</v>
      </c>
      <c r="E94" s="9">
        <f>'Pos5'!$D$56</f>
        <v>0</v>
      </c>
      <c r="F94" s="9">
        <f>'Pos5'!$D$57</f>
        <v>0</v>
      </c>
      <c r="G94" s="9">
        <f>'Pos5'!$D$58</f>
        <v>0</v>
      </c>
      <c r="I94" s="38">
        <f t="shared" si="11"/>
        <v>0</v>
      </c>
    </row>
    <row r="95" spans="1:25" x14ac:dyDescent="0.2">
      <c r="A95" s="126">
        <v>6</v>
      </c>
      <c r="B95" s="29">
        <f>VLOOKUP(A95,'Bestellung Commande'!$A$27:$O$65,6,FALSE)</f>
        <v>0</v>
      </c>
      <c r="C95" s="9">
        <f>'Pos6'!$D$17</f>
        <v>0</v>
      </c>
      <c r="D95" s="9">
        <f>'Pos6'!$D$55</f>
        <v>0</v>
      </c>
      <c r="E95" s="9">
        <f>'Pos6'!$D$56</f>
        <v>0</v>
      </c>
      <c r="F95" s="9">
        <f>'Pos6'!$D$57</f>
        <v>0</v>
      </c>
      <c r="G95" s="9">
        <f>'Pos6'!$D$58</f>
        <v>0</v>
      </c>
      <c r="I95" s="38"/>
    </row>
    <row r="96" spans="1:25" x14ac:dyDescent="0.2">
      <c r="A96" s="126">
        <v>7</v>
      </c>
      <c r="B96" s="29">
        <f>VLOOKUP(A96,'Bestellung Commande'!$A$27:$O$65,6,FALSE)</f>
        <v>0</v>
      </c>
      <c r="C96" s="9">
        <f>'Pos7'!$D$17</f>
        <v>0</v>
      </c>
      <c r="D96" s="9">
        <f>'Pos7'!$D$55</f>
        <v>0</v>
      </c>
      <c r="E96" s="9">
        <f>'Pos7'!$D$56</f>
        <v>0</v>
      </c>
      <c r="F96" s="9">
        <f>'Pos7'!$D$57</f>
        <v>0</v>
      </c>
      <c r="G96" s="9">
        <f>'Pos7'!$D$58</f>
        <v>0</v>
      </c>
      <c r="I96" s="38"/>
    </row>
    <row r="97" spans="1:9" x14ac:dyDescent="0.2">
      <c r="A97" s="126">
        <v>8</v>
      </c>
      <c r="B97" s="29">
        <f>VLOOKUP(A97,'Bestellung Commande'!$A$27:$O$65,6,FALSE)</f>
        <v>0</v>
      </c>
      <c r="C97" s="9">
        <f>'Pos8'!$D$17</f>
        <v>0</v>
      </c>
      <c r="D97" s="9">
        <f>'Pos8'!$D$55</f>
        <v>0</v>
      </c>
      <c r="E97" s="9">
        <f>'Pos8'!$D$56</f>
        <v>0</v>
      </c>
      <c r="F97" s="9">
        <f>'Pos8'!$D$57</f>
        <v>0</v>
      </c>
      <c r="G97" s="9">
        <f>'Pos8'!$D$58</f>
        <v>0</v>
      </c>
      <c r="I97" s="38"/>
    </row>
    <row r="98" spans="1:9" x14ac:dyDescent="0.2">
      <c r="A98" s="126">
        <v>9</v>
      </c>
      <c r="B98" s="29">
        <f>VLOOKUP(A98,'Bestellung Commande'!$A$27:$O$65,6,FALSE)</f>
        <v>0</v>
      </c>
      <c r="C98" s="9">
        <f>'Pos9'!$D$17</f>
        <v>0</v>
      </c>
      <c r="D98" s="9">
        <f>'Pos9'!$D$55</f>
        <v>0</v>
      </c>
      <c r="E98" s="9">
        <f>'Pos9'!$D$56</f>
        <v>0</v>
      </c>
      <c r="F98" s="9">
        <f>'Pos9'!$D$57</f>
        <v>0</v>
      </c>
      <c r="G98" s="9">
        <f>'Pos9'!$D$58</f>
        <v>0</v>
      </c>
      <c r="I98" s="38"/>
    </row>
    <row r="99" spans="1:9" x14ac:dyDescent="0.2">
      <c r="A99" s="126">
        <v>10</v>
      </c>
      <c r="B99" s="29">
        <f>VLOOKUP(A99,'Bestellung Commande'!$A$27:$O$65,6,FALSE)</f>
        <v>0</v>
      </c>
      <c r="C99" s="9">
        <f>'Pos10'!$D$17</f>
        <v>0</v>
      </c>
      <c r="D99" s="9">
        <f>'Pos10'!$D$55</f>
        <v>0</v>
      </c>
      <c r="E99" s="9">
        <f>'Pos10'!$D$56</f>
        <v>0</v>
      </c>
      <c r="F99" s="9">
        <f>'Pos10'!$D$57</f>
        <v>0</v>
      </c>
      <c r="G99" s="9">
        <f>'Pos10'!$D$58</f>
        <v>0</v>
      </c>
      <c r="I99" s="38"/>
    </row>
    <row r="100" spans="1:9" x14ac:dyDescent="0.2">
      <c r="A100" s="126">
        <v>11</v>
      </c>
      <c r="B100" s="29">
        <f>VLOOKUP(A100,'Bestellung Commande'!$A$27:$O$65,6,FALSE)</f>
        <v>0</v>
      </c>
      <c r="C100" s="9">
        <f>'Pos11'!$D$17</f>
        <v>0</v>
      </c>
      <c r="D100" s="9">
        <f>'Pos11'!$D$55</f>
        <v>0</v>
      </c>
      <c r="E100" s="9">
        <f>'Pos11'!$D$56</f>
        <v>0</v>
      </c>
      <c r="F100" s="9">
        <f>'Pos11'!$D$57</f>
        <v>0</v>
      </c>
      <c r="G100" s="9">
        <f>'Pos11'!$D$58</f>
        <v>0</v>
      </c>
      <c r="I100" s="38"/>
    </row>
    <row r="101" spans="1:9" x14ac:dyDescent="0.2">
      <c r="A101" s="126">
        <v>12</v>
      </c>
      <c r="B101" s="29">
        <f>VLOOKUP(A101,'Bestellung Commande'!$A$27:$O$65,6,FALSE)</f>
        <v>0</v>
      </c>
      <c r="C101" s="9">
        <f>'Pos12'!$D$17</f>
        <v>0</v>
      </c>
      <c r="D101" s="9">
        <f>'Pos12'!$D$55</f>
        <v>0</v>
      </c>
      <c r="E101" s="9">
        <f>'Pos12'!$D$56</f>
        <v>0</v>
      </c>
      <c r="F101" s="9">
        <f>'Pos12'!$D$57</f>
        <v>0</v>
      </c>
      <c r="G101" s="9">
        <f>'Pos12'!$D$58</f>
        <v>0</v>
      </c>
      <c r="I101" s="38"/>
    </row>
    <row r="102" spans="1:9" x14ac:dyDescent="0.2">
      <c r="A102" s="126">
        <v>13</v>
      </c>
      <c r="B102" s="29">
        <f>VLOOKUP(A102,'Bestellung Commande'!$A$27:$O$65,6,FALSE)</f>
        <v>0</v>
      </c>
      <c r="C102" s="9">
        <f>'Pos13'!$D$17</f>
        <v>0</v>
      </c>
      <c r="D102" s="9">
        <f>'Pos13'!$D$55</f>
        <v>0</v>
      </c>
      <c r="E102" s="9">
        <f>'Pos13'!$D$56</f>
        <v>0</v>
      </c>
      <c r="F102" s="9">
        <f>'Pos13'!$D$57</f>
        <v>0</v>
      </c>
      <c r="G102" s="9">
        <f>'Pos13'!$D$58</f>
        <v>0</v>
      </c>
      <c r="I102" s="38"/>
    </row>
    <row r="103" spans="1:9" x14ac:dyDescent="0.2">
      <c r="A103" s="126">
        <v>14</v>
      </c>
      <c r="B103" s="29">
        <f>VLOOKUP(A103,'Bestellung Commande'!$A$27:$O$65,6,FALSE)</f>
        <v>0</v>
      </c>
      <c r="C103" s="9">
        <f>'Pos14'!$D$17</f>
        <v>0</v>
      </c>
      <c r="D103" s="9">
        <f>'Pos14'!$D$55</f>
        <v>0</v>
      </c>
      <c r="E103" s="9">
        <f>'Pos14'!$D$56</f>
        <v>0</v>
      </c>
      <c r="F103" s="9">
        <f>'Pos14'!$D$57</f>
        <v>0</v>
      </c>
      <c r="G103" s="9">
        <f>'Pos14'!$D$58</f>
        <v>0</v>
      </c>
      <c r="I103" s="38"/>
    </row>
    <row r="104" spans="1:9" x14ac:dyDescent="0.2">
      <c r="A104" s="126">
        <v>15</v>
      </c>
      <c r="B104" s="29">
        <f>VLOOKUP(A104,'Bestellung Commande'!$A$27:$O$65,6,FALSE)</f>
        <v>0</v>
      </c>
      <c r="C104" s="9">
        <f>'Pos15'!$D$17</f>
        <v>0</v>
      </c>
      <c r="D104" s="9">
        <f>'Pos15'!$D$55</f>
        <v>0</v>
      </c>
      <c r="E104" s="9">
        <f>'Pos15'!$D$56</f>
        <v>0</v>
      </c>
      <c r="F104" s="9">
        <f>'Pos15'!$D$57</f>
        <v>0</v>
      </c>
      <c r="G104" s="9">
        <f>'Pos15'!$D$58</f>
        <v>0</v>
      </c>
      <c r="I104" s="38"/>
    </row>
    <row r="105" spans="1:9" x14ac:dyDescent="0.2">
      <c r="A105" s="126">
        <v>16</v>
      </c>
      <c r="B105" s="29">
        <f>VLOOKUP(A105,'Bestellung Commande'!$A$27:$O$65,6,FALSE)</f>
        <v>0</v>
      </c>
      <c r="C105" s="9">
        <f>'Pos16'!$D$17</f>
        <v>0</v>
      </c>
      <c r="D105" s="9">
        <f>'Pos16'!$D$55</f>
        <v>0</v>
      </c>
      <c r="E105" s="9">
        <f>'Pos16'!$D$56</f>
        <v>0</v>
      </c>
      <c r="F105" s="9">
        <f>'Pos16'!$D$57</f>
        <v>0</v>
      </c>
      <c r="G105" s="9">
        <f>'Pos16'!$D$58</f>
        <v>0</v>
      </c>
      <c r="I105" s="38"/>
    </row>
    <row r="106" spans="1:9" x14ac:dyDescent="0.2">
      <c r="A106" s="126">
        <v>17</v>
      </c>
      <c r="B106" s="29">
        <f>VLOOKUP(A106,'Bestellung Commande'!$A$27:$O$65,6,FALSE)</f>
        <v>0</v>
      </c>
      <c r="C106" s="9">
        <f>'Pos17'!$D$17</f>
        <v>0</v>
      </c>
      <c r="D106" s="9">
        <f>'Pos17'!$D$55</f>
        <v>0</v>
      </c>
      <c r="E106" s="9">
        <f>'Pos17'!$D$56</f>
        <v>0</v>
      </c>
      <c r="F106" s="9">
        <f>'Pos17'!$D$57</f>
        <v>0</v>
      </c>
      <c r="G106" s="9">
        <f>'Pos17'!$D$58</f>
        <v>0</v>
      </c>
      <c r="I106" s="38"/>
    </row>
    <row r="107" spans="1:9" x14ac:dyDescent="0.2">
      <c r="A107" s="126">
        <v>18</v>
      </c>
      <c r="B107" s="29">
        <f>VLOOKUP(A107,'Bestellung Commande'!$A$27:$O$65,6,FALSE)</f>
        <v>0</v>
      </c>
      <c r="C107" s="9">
        <f>'Pos18'!$D$17</f>
        <v>0</v>
      </c>
      <c r="D107" s="9">
        <f>'Pos18'!$D$55</f>
        <v>0</v>
      </c>
      <c r="E107" s="9">
        <f>'Pos18'!$D$56</f>
        <v>0</v>
      </c>
      <c r="F107" s="9">
        <f>'Pos18'!$D$57</f>
        <v>0</v>
      </c>
      <c r="G107" s="9">
        <f>'Pos18'!$D$58</f>
        <v>0</v>
      </c>
      <c r="I107" s="38"/>
    </row>
    <row r="108" spans="1:9" x14ac:dyDescent="0.2">
      <c r="A108" s="126">
        <v>19</v>
      </c>
      <c r="B108" s="29">
        <f>VLOOKUP(A108,'Bestellung Commande'!$A$27:$O$65,6,FALSE)</f>
        <v>0</v>
      </c>
      <c r="C108" s="9">
        <f>'Pos19'!$D$17</f>
        <v>0</v>
      </c>
      <c r="D108" s="9">
        <f>'Pos19'!$D$55</f>
        <v>0</v>
      </c>
      <c r="E108" s="9">
        <f>'Pos19'!$D$56</f>
        <v>0</v>
      </c>
      <c r="F108" s="9">
        <f>'Pos19'!$D$57</f>
        <v>0</v>
      </c>
      <c r="G108" s="9">
        <f>'Pos19'!$D$58</f>
        <v>0</v>
      </c>
      <c r="I108" s="38"/>
    </row>
    <row r="109" spans="1:9" x14ac:dyDescent="0.2">
      <c r="A109" s="126">
        <v>20</v>
      </c>
      <c r="B109" s="29">
        <f>VLOOKUP(A109,'Bestellung Commande'!$A$27:$O$65,6,FALSE)</f>
        <v>0</v>
      </c>
      <c r="C109" s="9">
        <f>'Pos20'!$D$17</f>
        <v>0</v>
      </c>
      <c r="D109" s="9">
        <f>'Pos20'!$D$55</f>
        <v>0</v>
      </c>
      <c r="E109" s="9">
        <f>'Pos20'!$D$56</f>
        <v>0</v>
      </c>
      <c r="F109" s="9">
        <f>'Pos20'!$D$57</f>
        <v>0</v>
      </c>
      <c r="G109" s="9">
        <f>'Pos20'!$D$58</f>
        <v>0</v>
      </c>
      <c r="I109" s="38"/>
    </row>
    <row r="110" spans="1:9" x14ac:dyDescent="0.2">
      <c r="B110" s="29"/>
      <c r="C110" s="9"/>
      <c r="D110" s="9"/>
      <c r="E110" s="9"/>
      <c r="I110" s="38"/>
    </row>
    <row r="111" spans="1:9" x14ac:dyDescent="0.2">
      <c r="A111" s="131" t="s">
        <v>11</v>
      </c>
      <c r="B111" s="131" t="s">
        <v>61</v>
      </c>
      <c r="C111" s="129"/>
      <c r="D111" s="129"/>
      <c r="E111" s="129"/>
      <c r="F111" s="130"/>
      <c r="G111" s="130"/>
      <c r="I111" s="38"/>
    </row>
    <row r="112" spans="1:9" x14ac:dyDescent="0.2">
      <c r="A112" s="132">
        <f>DATEN!B3</f>
        <v>0</v>
      </c>
      <c r="B112" s="133">
        <f>SUM(D112:G112)</f>
        <v>0</v>
      </c>
      <c r="C112" s="44"/>
      <c r="D112" s="38">
        <f t="shared" ref="D112:G114" si="12">(SUMIF(D$90:D$94,$A112,$I$90:$I$94)+SUMIF(E$90:E$94,$A112,$I$90:$I$94)+SUMIF(F$90:F$94,$A112,$I$90:$I$94)+SUMIF(G$90:G$94,$A112,$I$90:$I$94))/1000</f>
        <v>0</v>
      </c>
      <c r="E112" s="38">
        <f t="shared" si="12"/>
        <v>0</v>
      </c>
      <c r="F112" s="38">
        <f t="shared" si="12"/>
        <v>0</v>
      </c>
      <c r="G112" s="38">
        <f t="shared" si="12"/>
        <v>0</v>
      </c>
      <c r="H112" s="38"/>
      <c r="I112" s="38"/>
    </row>
    <row r="113" spans="1:11" x14ac:dyDescent="0.2">
      <c r="A113" s="132" t="str">
        <f>DATEN!B4</f>
        <v>C340 650</v>
      </c>
      <c r="B113" s="133">
        <f>SUM(D113:G113)</f>
        <v>0</v>
      </c>
      <c r="C113" s="44"/>
      <c r="D113" s="38">
        <f t="shared" si="12"/>
        <v>0</v>
      </c>
      <c r="E113" s="38">
        <f t="shared" si="12"/>
        <v>0</v>
      </c>
      <c r="F113" s="38">
        <f t="shared" si="12"/>
        <v>0</v>
      </c>
      <c r="G113" s="38">
        <f t="shared" si="12"/>
        <v>0</v>
      </c>
      <c r="H113" s="38"/>
      <c r="I113" s="38"/>
    </row>
    <row r="114" spans="1:11" x14ac:dyDescent="0.2">
      <c r="A114" s="132" t="str">
        <f>DATEN!B5</f>
        <v>C340 010</v>
      </c>
      <c r="B114" s="133">
        <f>SUM(D114:G114)</f>
        <v>0</v>
      </c>
      <c r="C114" s="44"/>
      <c r="D114" s="38">
        <f t="shared" si="12"/>
        <v>0</v>
      </c>
      <c r="E114" s="38">
        <f t="shared" si="12"/>
        <v>0</v>
      </c>
      <c r="F114" s="38">
        <f t="shared" si="12"/>
        <v>0</v>
      </c>
      <c r="G114" s="38">
        <f t="shared" si="12"/>
        <v>0</v>
      </c>
      <c r="H114" s="38"/>
      <c r="I114" s="38"/>
    </row>
    <row r="115" spans="1:11" x14ac:dyDescent="0.2">
      <c r="A115" s="132" t="str">
        <f>DATEN!B6</f>
        <v>C340 020</v>
      </c>
      <c r="B115" s="133">
        <f t="shared" ref="B115:B117" si="13">SUM(D115:G115)</f>
        <v>0</v>
      </c>
      <c r="C115" s="38"/>
      <c r="D115" s="38">
        <f t="shared" ref="D115:G115" si="14">(SUMIF(D$90:D$94,$A115,$I$90:$I$94)+SUMIF(E$90:E$94,$A115,$I$90:$I$94)+SUMIF(F$90:F$94,$A115,$I$90:$I$94)+SUMIF(G$90:G$94,$A115,$I$90:$I$94))/1000</f>
        <v>0</v>
      </c>
      <c r="E115" s="38">
        <f t="shared" si="14"/>
        <v>0</v>
      </c>
      <c r="F115" s="38">
        <f t="shared" si="14"/>
        <v>0</v>
      </c>
      <c r="G115" s="38">
        <f t="shared" si="14"/>
        <v>0</v>
      </c>
      <c r="H115" s="38"/>
      <c r="I115" s="38"/>
    </row>
    <row r="116" spans="1:11" x14ac:dyDescent="0.2">
      <c r="A116" s="132" t="str">
        <f>DATEN!B7</f>
        <v>C340 030</v>
      </c>
      <c r="B116" s="133">
        <f t="shared" si="13"/>
        <v>0</v>
      </c>
      <c r="C116" s="38"/>
      <c r="D116" s="38">
        <f t="shared" ref="D116:G116" si="15">(SUMIF(D$90:D$94,$A116,$I$90:$I$94)+SUMIF(E$90:E$94,$A116,$I$90:$I$94)+SUMIF(F$90:F$94,$A116,$I$90:$I$94)+SUMIF(G$90:G$94,$A116,$I$90:$I$94))/1000</f>
        <v>0</v>
      </c>
      <c r="E116" s="38">
        <f t="shared" si="15"/>
        <v>0</v>
      </c>
      <c r="F116" s="38">
        <f t="shared" si="15"/>
        <v>0</v>
      </c>
      <c r="G116" s="38">
        <f t="shared" si="15"/>
        <v>0</v>
      </c>
      <c r="H116" s="38"/>
      <c r="I116" s="38"/>
    </row>
    <row r="117" spans="1:11" x14ac:dyDescent="0.2">
      <c r="A117" s="132" t="str">
        <f>DATEN!B8</f>
        <v>C9640248</v>
      </c>
      <c r="B117" s="133">
        <f t="shared" si="13"/>
        <v>0</v>
      </c>
      <c r="C117" s="38"/>
      <c r="D117" s="38">
        <f t="shared" ref="D117:G117" si="16">(SUMIF(D$90:D$94,$A117,$I$90:$I$94)+SUMIF(E$90:E$94,$A117,$I$90:$I$94)+SUMIF(F$90:F$94,$A117,$I$90:$I$94)+SUMIF(G$90:G$94,$A117,$I$90:$I$94))/1000</f>
        <v>0</v>
      </c>
      <c r="E117" s="38">
        <f t="shared" si="16"/>
        <v>0</v>
      </c>
      <c r="F117" s="38">
        <f t="shared" si="16"/>
        <v>0</v>
      </c>
      <c r="G117" s="38">
        <f t="shared" si="16"/>
        <v>0</v>
      </c>
      <c r="H117" s="38"/>
      <c r="I117" s="38"/>
    </row>
    <row r="118" spans="1:11" x14ac:dyDescent="0.2">
      <c r="B118" s="29"/>
      <c r="C118" s="38"/>
      <c r="D118" s="38"/>
      <c r="E118" s="38"/>
      <c r="F118" s="38"/>
      <c r="G118" s="38"/>
      <c r="H118" s="38"/>
      <c r="I118" s="38"/>
    </row>
    <row r="119" spans="1:11" x14ac:dyDescent="0.2">
      <c r="A119" s="129"/>
      <c r="B119" s="129"/>
      <c r="C119" s="129"/>
      <c r="D119" s="129"/>
      <c r="E119" s="129"/>
      <c r="F119" s="130"/>
      <c r="G119" s="130"/>
      <c r="H119" s="130"/>
      <c r="I119" s="129"/>
      <c r="J119" s="130"/>
      <c r="K119" s="129"/>
    </row>
    <row r="121" spans="1:11" ht="15" x14ac:dyDescent="0.25">
      <c r="A121" s="232" t="s">
        <v>207</v>
      </c>
      <c r="B121" s="232"/>
      <c r="C121" s="232"/>
      <c r="D121" s="232"/>
      <c r="E121" s="232"/>
      <c r="F121" s="232"/>
      <c r="G121" s="232"/>
      <c r="H121" s="232"/>
      <c r="I121" s="232"/>
      <c r="J121" s="232"/>
      <c r="K121" s="232"/>
    </row>
    <row r="123" spans="1:11" ht="38.25" x14ac:dyDescent="0.2">
      <c r="B123" s="233" t="str">
        <f>DATEN!AL2</f>
        <v>Anschlussdichtung</v>
      </c>
      <c r="C123" s="233"/>
      <c r="D123" s="119" t="str">
        <f>DATEN!AM2</f>
        <v>Linsenschaube 4.8x28</v>
      </c>
      <c r="E123" s="119" t="str">
        <f>DATEN!AN2</f>
        <v>KS-Kupplungselemnt</v>
      </c>
      <c r="F123" s="119" t="str">
        <f>DATEN!AO2</f>
        <v>Dichtstück</v>
      </c>
      <c r="G123" s="119" t="str">
        <f>DATEN!AP2</f>
        <v>Endstück mit Entwässerung</v>
      </c>
    </row>
    <row r="124" spans="1:11" x14ac:dyDescent="0.2">
      <c r="B124" s="234" t="str">
        <f>DATEN!AL3</f>
        <v>C224 165</v>
      </c>
      <c r="C124" s="234"/>
      <c r="D124" s="118" t="str">
        <f>DATEN!AM3</f>
        <v>C205 440</v>
      </c>
      <c r="E124" s="118" t="str">
        <f>DATEN!AN3</f>
        <v>C218 082</v>
      </c>
      <c r="F124" s="118" t="str">
        <f>DATEN!AO3</f>
        <v>C298 930</v>
      </c>
      <c r="G124" s="118" t="str">
        <f>DATEN!AP3</f>
        <v>C298928</v>
      </c>
    </row>
    <row r="125" spans="1:11" x14ac:dyDescent="0.2">
      <c r="A125" s="120" t="s">
        <v>62</v>
      </c>
      <c r="B125" s="235" t="s">
        <v>107</v>
      </c>
      <c r="C125" s="235"/>
      <c r="D125" s="235"/>
      <c r="E125" s="235"/>
      <c r="F125" s="235"/>
      <c r="G125" s="235"/>
    </row>
    <row r="126" spans="1:11" x14ac:dyDescent="0.2">
      <c r="A126" s="136">
        <v>1</v>
      </c>
      <c r="B126" s="215">
        <f>DATEN!$AD$3*DATEN!$AL$4</f>
        <v>0</v>
      </c>
      <c r="C126" s="216"/>
      <c r="D126" s="141">
        <f>DATEN!$AD$3*DATEN!$AM$5</f>
        <v>0</v>
      </c>
      <c r="E126" s="128">
        <f>DATEN!$AD$3*DATEN!$AN$5</f>
        <v>0</v>
      </c>
      <c r="F126" s="128">
        <f>DATEN!$AD$3*DATEN!$AO$5</f>
        <v>0</v>
      </c>
      <c r="G126" s="128">
        <f>DATEN!$AD$3*DATEN!$AP$5</f>
        <v>0</v>
      </c>
    </row>
    <row r="127" spans="1:11" x14ac:dyDescent="0.2">
      <c r="A127" s="137">
        <v>2</v>
      </c>
      <c r="B127" s="217">
        <f>DATEN!$AD$8*DATEN!$AL$9</f>
        <v>0</v>
      </c>
      <c r="C127" s="218"/>
      <c r="D127" s="142">
        <f>DATEN!$AD$8*DATEN!$AM$10</f>
        <v>0</v>
      </c>
      <c r="E127" s="134">
        <f>DATEN!$AD$8*DATEN!$AN$10</f>
        <v>0</v>
      </c>
      <c r="F127" s="134">
        <f>DATEN!$AD$8*DATEN!$AO$10</f>
        <v>0</v>
      </c>
      <c r="G127" s="134">
        <f>DATEN!$AD$8*DATEN!$AP$10</f>
        <v>0</v>
      </c>
    </row>
    <row r="128" spans="1:11" x14ac:dyDescent="0.2">
      <c r="A128" s="137">
        <v>3</v>
      </c>
      <c r="B128" s="217">
        <f>DATEN!$AD$13*DATEN!$AL$14</f>
        <v>0</v>
      </c>
      <c r="C128" s="218"/>
      <c r="D128" s="142">
        <f>DATEN!$AD$13*DATEN!$AM$15</f>
        <v>0</v>
      </c>
      <c r="E128" s="134">
        <f>DATEN!$AD$13*DATEN!$AN$15</f>
        <v>0</v>
      </c>
      <c r="F128" s="134">
        <f>DATEN!$AD$13*DATEN!$AO$15</f>
        <v>0</v>
      </c>
      <c r="G128" s="134">
        <f>DATEN!$AD$13*DATEN!$AP$15</f>
        <v>0</v>
      </c>
    </row>
    <row r="129" spans="1:7" x14ac:dyDescent="0.2">
      <c r="A129" s="137">
        <v>4</v>
      </c>
      <c r="B129" s="217">
        <f>DATEN!$AD$18*DATEN!$AL$19</f>
        <v>0</v>
      </c>
      <c r="C129" s="218"/>
      <c r="D129" s="142">
        <f>DATEN!$AD$18*DATEN!$AM$20</f>
        <v>0</v>
      </c>
      <c r="E129" s="134">
        <f>DATEN!$AD$18*DATEN!$AN$20</f>
        <v>0</v>
      </c>
      <c r="F129" s="134">
        <f>DATEN!$AD$18*DATEN!$AO$20</f>
        <v>0</v>
      </c>
      <c r="G129" s="134">
        <f>DATEN!$AD$18*DATEN!$AP$20</f>
        <v>0</v>
      </c>
    </row>
    <row r="130" spans="1:7" x14ac:dyDescent="0.2">
      <c r="A130" s="137">
        <v>5</v>
      </c>
      <c r="B130" s="217">
        <f>DATEN!$AD$23*DATEN!$AL$24</f>
        <v>0</v>
      </c>
      <c r="C130" s="218"/>
      <c r="D130" s="142">
        <f>DATEN!$AD$23*DATEN!$AM$25</f>
        <v>0</v>
      </c>
      <c r="E130" s="134">
        <f>DATEN!$AD$23*DATEN!$AN$25</f>
        <v>0</v>
      </c>
      <c r="F130" s="134">
        <f>DATEN!$AD$23*DATEN!$AO$25</f>
        <v>0</v>
      </c>
      <c r="G130" s="134">
        <f>DATEN!$AD$23*DATEN!$AP$25</f>
        <v>0</v>
      </c>
    </row>
    <row r="131" spans="1:7" x14ac:dyDescent="0.2">
      <c r="A131" s="137">
        <v>6</v>
      </c>
      <c r="B131" s="219">
        <f>DATEN!$AD$28*DATEN!$AL$29</f>
        <v>0</v>
      </c>
      <c r="C131" s="220"/>
      <c r="D131" s="142">
        <f>DATEN!$AD$28*DATEN!$AM$30</f>
        <v>0</v>
      </c>
      <c r="E131" s="134">
        <f>DATEN!$AD$28*DATEN!$AN$30</f>
        <v>0</v>
      </c>
      <c r="F131" s="134">
        <f>DATEN!$AD$28*DATEN!$AO$30</f>
        <v>0</v>
      </c>
      <c r="G131" s="134">
        <f>DATEN!$AD$28*DATEN!$AP$30</f>
        <v>0</v>
      </c>
    </row>
    <row r="132" spans="1:7" x14ac:dyDescent="0.2">
      <c r="A132" s="137">
        <v>7</v>
      </c>
      <c r="B132" s="219">
        <f>DATEN!$AD$33*DATEN!$AL$34</f>
        <v>0</v>
      </c>
      <c r="C132" s="220"/>
      <c r="D132" s="142">
        <f>DATEN!$AD$33*DATEN!$AM$35</f>
        <v>0</v>
      </c>
      <c r="E132" s="134">
        <f>DATEN!$AD$33*DATEN!$AN$35</f>
        <v>0</v>
      </c>
      <c r="F132" s="134">
        <f>DATEN!$AD$33*DATEN!$AO$35</f>
        <v>0</v>
      </c>
      <c r="G132" s="134">
        <f>DATEN!$AD$33*DATEN!$AP$35</f>
        <v>0</v>
      </c>
    </row>
    <row r="133" spans="1:7" x14ac:dyDescent="0.2">
      <c r="A133" s="137">
        <v>8</v>
      </c>
      <c r="B133" s="219">
        <f>DATEN!$AD$38*DATEN!$AL$39</f>
        <v>0</v>
      </c>
      <c r="C133" s="220"/>
      <c r="D133" s="142">
        <f>DATEN!$AD$38*DATEN!$AM$40</f>
        <v>0</v>
      </c>
      <c r="E133" s="134">
        <f>DATEN!$AD$38*DATEN!$AN$40</f>
        <v>0</v>
      </c>
      <c r="F133" s="134">
        <f>DATEN!$AD$38*DATEN!$AO$40</f>
        <v>0</v>
      </c>
      <c r="G133" s="134">
        <f>DATEN!$AD$38*DATEN!$AP$40</f>
        <v>0</v>
      </c>
    </row>
    <row r="134" spans="1:7" x14ac:dyDescent="0.2">
      <c r="A134" s="137">
        <v>9</v>
      </c>
      <c r="B134" s="219">
        <f>DATEN!$AD$43*DATEN!$AL$44</f>
        <v>0</v>
      </c>
      <c r="C134" s="220"/>
      <c r="D134" s="142">
        <f>DATEN!$AD$43*DATEN!$AM$45</f>
        <v>0</v>
      </c>
      <c r="E134" s="134">
        <f>DATEN!$AD$43*DATEN!$AN$45</f>
        <v>0</v>
      </c>
      <c r="F134" s="134">
        <f>DATEN!$AD$43*DATEN!$AO$45</f>
        <v>0</v>
      </c>
      <c r="G134" s="134">
        <f>DATEN!$AD$43*DATEN!$AP$45</f>
        <v>0</v>
      </c>
    </row>
    <row r="135" spans="1:7" x14ac:dyDescent="0.2">
      <c r="A135" s="137">
        <v>10</v>
      </c>
      <c r="B135" s="219">
        <f>DATEN!$AD$48*DATEN!$AL$49</f>
        <v>0</v>
      </c>
      <c r="C135" s="220"/>
      <c r="D135" s="142">
        <f>DATEN!$AD$48*DATEN!$AM$50</f>
        <v>0</v>
      </c>
      <c r="E135" s="134">
        <f>DATEN!$AD$48*DATEN!$AN$50</f>
        <v>0</v>
      </c>
      <c r="F135" s="134">
        <f>DATEN!$AD$48*DATEN!$AO$50</f>
        <v>0</v>
      </c>
      <c r="G135" s="134">
        <f>DATEN!$AD$48*DATEN!$AP$50</f>
        <v>0</v>
      </c>
    </row>
    <row r="136" spans="1:7" x14ac:dyDescent="0.2">
      <c r="A136" s="137">
        <v>11</v>
      </c>
      <c r="B136" s="219">
        <f>DATEN!$AD$53*DATEN!$AL$54</f>
        <v>0</v>
      </c>
      <c r="C136" s="220"/>
      <c r="D136" s="142">
        <f>DATEN!$AD$53*DATEN!$AM$55</f>
        <v>0</v>
      </c>
      <c r="E136" s="134">
        <f>DATEN!$AD$53*DATEN!$AN$55</f>
        <v>0</v>
      </c>
      <c r="F136" s="134">
        <f>DATEN!$AD$53*DATEN!$AO$55</f>
        <v>0</v>
      </c>
      <c r="G136" s="134">
        <f>DATEN!$AD$53*DATEN!$AP$55</f>
        <v>0</v>
      </c>
    </row>
    <row r="137" spans="1:7" x14ac:dyDescent="0.2">
      <c r="A137" s="137">
        <v>12</v>
      </c>
      <c r="B137" s="219">
        <f>DATEN!$AD$58*DATEN!$AL$59</f>
        <v>0</v>
      </c>
      <c r="C137" s="220"/>
      <c r="D137" s="142">
        <f>DATEN!$AD$58*DATEN!$AM$60</f>
        <v>0</v>
      </c>
      <c r="E137" s="134">
        <f>DATEN!$AD$58*DATEN!$AN$60</f>
        <v>0</v>
      </c>
      <c r="F137" s="134">
        <f>DATEN!$AD$58*DATEN!$AO$60</f>
        <v>0</v>
      </c>
      <c r="G137" s="134">
        <f>DATEN!$AD$58*DATEN!$AP$60</f>
        <v>0</v>
      </c>
    </row>
    <row r="138" spans="1:7" x14ac:dyDescent="0.2">
      <c r="A138" s="137">
        <v>13</v>
      </c>
      <c r="B138" s="219">
        <f>DATEN!$AD$63*DATEN!$AL$64</f>
        <v>0</v>
      </c>
      <c r="C138" s="220"/>
      <c r="D138" s="142">
        <f>DATEN!$AD$63*DATEN!$AM$65</f>
        <v>0</v>
      </c>
      <c r="E138" s="134">
        <f>DATEN!$AD$63*DATEN!$AN$65</f>
        <v>0</v>
      </c>
      <c r="F138" s="134">
        <f>DATEN!$AD$63*DATEN!$AO$65</f>
        <v>0</v>
      </c>
      <c r="G138" s="134">
        <f>DATEN!$AD$63*DATEN!$AP$65</f>
        <v>0</v>
      </c>
    </row>
    <row r="139" spans="1:7" x14ac:dyDescent="0.2">
      <c r="A139" s="137">
        <v>14</v>
      </c>
      <c r="B139" s="219">
        <f>DATEN!$AD$68*DATEN!$AL$69</f>
        <v>0</v>
      </c>
      <c r="C139" s="220"/>
      <c r="D139" s="142">
        <f>DATEN!$AD$68*DATEN!$AM$70</f>
        <v>0</v>
      </c>
      <c r="E139" s="134">
        <f>DATEN!$AD$68*DATEN!$AN$70</f>
        <v>0</v>
      </c>
      <c r="F139" s="134">
        <f>DATEN!$AD$68*DATEN!$AO$70</f>
        <v>0</v>
      </c>
      <c r="G139" s="134">
        <f>DATEN!$AD$68*DATEN!$AP$70</f>
        <v>0</v>
      </c>
    </row>
    <row r="140" spans="1:7" x14ac:dyDescent="0.2">
      <c r="A140" s="137">
        <v>15</v>
      </c>
      <c r="B140" s="219">
        <f>DATEN!$AD$73*DATEN!$AL$74</f>
        <v>0</v>
      </c>
      <c r="C140" s="220"/>
      <c r="D140" s="142">
        <f>DATEN!$AD$73*DATEN!$AM$75</f>
        <v>0</v>
      </c>
      <c r="E140" s="134">
        <f>DATEN!$AD$73*DATEN!$AN$75</f>
        <v>0</v>
      </c>
      <c r="F140" s="134">
        <f>DATEN!$AD$73*DATEN!$AO$75</f>
        <v>0</v>
      </c>
      <c r="G140" s="134">
        <f>DATEN!$AD$73*DATEN!$AP$75</f>
        <v>0</v>
      </c>
    </row>
    <row r="141" spans="1:7" x14ac:dyDescent="0.2">
      <c r="A141" s="137">
        <v>16</v>
      </c>
      <c r="B141" s="219">
        <f>DATEN!$AD$78*DATEN!$AL$79</f>
        <v>0</v>
      </c>
      <c r="C141" s="220"/>
      <c r="D141" s="142">
        <f>DATEN!$AD$78*DATEN!$AM$80</f>
        <v>0</v>
      </c>
      <c r="E141" s="134">
        <f>DATEN!$AD$78*DATEN!$AN$80</f>
        <v>0</v>
      </c>
      <c r="F141" s="134">
        <f>DATEN!$AD$78*DATEN!$AO$80</f>
        <v>0</v>
      </c>
      <c r="G141" s="134">
        <f>DATEN!$AD$78*DATEN!$AP$80</f>
        <v>0</v>
      </c>
    </row>
    <row r="142" spans="1:7" x14ac:dyDescent="0.2">
      <c r="A142" s="137">
        <v>17</v>
      </c>
      <c r="B142" s="219">
        <f>DATEN!$AD$83*DATEN!$AL$84</f>
        <v>0</v>
      </c>
      <c r="C142" s="220"/>
      <c r="D142" s="142">
        <f>DATEN!$AD$83*DATEN!$AM$85</f>
        <v>0</v>
      </c>
      <c r="E142" s="134">
        <f>DATEN!$AD$83*DATEN!$AN$85</f>
        <v>0</v>
      </c>
      <c r="F142" s="134">
        <f>DATEN!$AD$83*DATEN!$AO$85</f>
        <v>0</v>
      </c>
      <c r="G142" s="134">
        <f>DATEN!$AD$83*DATEN!$AP$85</f>
        <v>0</v>
      </c>
    </row>
    <row r="143" spans="1:7" x14ac:dyDescent="0.2">
      <c r="A143" s="137">
        <v>18</v>
      </c>
      <c r="B143" s="219">
        <f>DATEN!$AD$88*DATEN!$AL$89</f>
        <v>0</v>
      </c>
      <c r="C143" s="220"/>
      <c r="D143" s="142">
        <f>DATEN!$AD$88*DATEN!$AM$90</f>
        <v>0</v>
      </c>
      <c r="E143" s="134">
        <f>DATEN!$AD$88*DATEN!$AN$90</f>
        <v>0</v>
      </c>
      <c r="F143" s="134">
        <f>DATEN!$AD$88*DATEN!$AO$90</f>
        <v>0</v>
      </c>
      <c r="G143" s="134">
        <f>DATEN!$AD$88*DATEN!$AP$90</f>
        <v>0</v>
      </c>
    </row>
    <row r="144" spans="1:7" x14ac:dyDescent="0.2">
      <c r="A144" s="137">
        <v>19</v>
      </c>
      <c r="B144" s="219">
        <f>DATEN!$AD$93*DATEN!$AL$94</f>
        <v>0</v>
      </c>
      <c r="C144" s="220"/>
      <c r="D144" s="142">
        <f>DATEN!$AD$93*DATEN!$AM$95</f>
        <v>0</v>
      </c>
      <c r="E144" s="134">
        <f>DATEN!$AD$93*DATEN!$AN$95</f>
        <v>0</v>
      </c>
      <c r="F144" s="134">
        <f>DATEN!$AD$93*DATEN!$AO$95</f>
        <v>0</v>
      </c>
      <c r="G144" s="134">
        <f>DATEN!$AD$93*DATEN!$AP$95</f>
        <v>0</v>
      </c>
    </row>
    <row r="145" spans="1:7" x14ac:dyDescent="0.2">
      <c r="A145" s="138">
        <v>20</v>
      </c>
      <c r="B145" s="250">
        <f>DATEN!$AD$98*DATEN!$AL$99</f>
        <v>0</v>
      </c>
      <c r="C145" s="251"/>
      <c r="D145" s="143">
        <f>DATEN!$AD$98*DATEN!$AM$100</f>
        <v>0</v>
      </c>
      <c r="E145" s="135">
        <f>DATEN!$AD$98*DATEN!$AN$100</f>
        <v>0</v>
      </c>
      <c r="F145" s="135">
        <f>DATEN!$AD$98*DATEN!$AO$100</f>
        <v>0</v>
      </c>
      <c r="G145" s="135">
        <f>DATEN!$AD$98*DATEN!$AP$100</f>
        <v>0</v>
      </c>
    </row>
    <row r="146" spans="1:7" ht="15" x14ac:dyDescent="0.25">
      <c r="B146" s="213">
        <f>SUM(B126:C145)</f>
        <v>0</v>
      </c>
      <c r="C146" s="214"/>
      <c r="D146" s="117">
        <f>SUM(D126:D145)</f>
        <v>0</v>
      </c>
      <c r="E146" s="117">
        <f t="shared" ref="E146:G146" si="17">SUM(E126:E145)</f>
        <v>0</v>
      </c>
      <c r="F146" s="117">
        <f t="shared" si="17"/>
        <v>0</v>
      </c>
      <c r="G146" s="117">
        <f t="shared" si="17"/>
        <v>0</v>
      </c>
    </row>
    <row r="147" spans="1:7" x14ac:dyDescent="0.2">
      <c r="F147"/>
      <c r="G147"/>
    </row>
    <row r="148" spans="1:7" x14ac:dyDescent="0.2">
      <c r="F148"/>
      <c r="G148"/>
    </row>
    <row r="149" spans="1:7" x14ac:dyDescent="0.2">
      <c r="F149"/>
      <c r="G149"/>
    </row>
    <row r="150" spans="1:7" x14ac:dyDescent="0.2">
      <c r="F150"/>
      <c r="G150"/>
    </row>
    <row r="151" spans="1:7" x14ac:dyDescent="0.2">
      <c r="F151"/>
      <c r="G151"/>
    </row>
    <row r="152" spans="1:7" x14ac:dyDescent="0.2">
      <c r="F152"/>
      <c r="G152"/>
    </row>
    <row r="153" spans="1:7" x14ac:dyDescent="0.2">
      <c r="F153"/>
      <c r="G153"/>
    </row>
    <row r="154" spans="1:7" x14ac:dyDescent="0.2">
      <c r="F154"/>
      <c r="G154"/>
    </row>
    <row r="155" spans="1:7" x14ac:dyDescent="0.2">
      <c r="F155"/>
      <c r="G155"/>
    </row>
    <row r="156" spans="1:7" x14ac:dyDescent="0.2">
      <c r="F156"/>
      <c r="G156"/>
    </row>
    <row r="157" spans="1:7" x14ac:dyDescent="0.2">
      <c r="F157"/>
      <c r="G157"/>
    </row>
  </sheetData>
  <sheetProtection algorithmName="SHA-512" hashValue="H+/9d+waBxwLrKmZN0ThDjC7pc8ewwEP0/3YNwsuGqs+g/9a9j83ksKxeO4twXMQ1BqaA9GWTi6gnGaF5qTWKw==" saltValue="PziyYkBOdFqVmPkrl+tkQg==" spinCount="100000" sheet="1" objects="1" scenarios="1"/>
  <mergeCells count="73">
    <mergeCell ref="B142:C142"/>
    <mergeCell ref="B143:C143"/>
    <mergeCell ref="B144:C144"/>
    <mergeCell ref="B145:C145"/>
    <mergeCell ref="B135:C135"/>
    <mergeCell ref="B138:C138"/>
    <mergeCell ref="B139:C139"/>
    <mergeCell ref="B140:C140"/>
    <mergeCell ref="B141:C141"/>
    <mergeCell ref="A1:K1"/>
    <mergeCell ref="H69:I69"/>
    <mergeCell ref="H70:I70"/>
    <mergeCell ref="I4:K4"/>
    <mergeCell ref="I5:K5"/>
    <mergeCell ref="A10:B10"/>
    <mergeCell ref="C10:E10"/>
    <mergeCell ref="A11:E11"/>
    <mergeCell ref="A12:B12"/>
    <mergeCell ref="C12:E12"/>
    <mergeCell ref="A2:E2"/>
    <mergeCell ref="A3:B3"/>
    <mergeCell ref="C3:E3"/>
    <mergeCell ref="I3:K3"/>
    <mergeCell ref="A39:K39"/>
    <mergeCell ref="F2:K2"/>
    <mergeCell ref="A121:K121"/>
    <mergeCell ref="B123:C123"/>
    <mergeCell ref="B124:C124"/>
    <mergeCell ref="B125:G125"/>
    <mergeCell ref="A17:K17"/>
    <mergeCell ref="A86:K86"/>
    <mergeCell ref="H66:I66"/>
    <mergeCell ref="H67:I67"/>
    <mergeCell ref="H68:I68"/>
    <mergeCell ref="H71:I71"/>
    <mergeCell ref="H72:I72"/>
    <mergeCell ref="H65:I65"/>
    <mergeCell ref="A63:K63"/>
    <mergeCell ref="B19:B38"/>
    <mergeCell ref="B41:B60"/>
    <mergeCell ref="I41:I50"/>
    <mergeCell ref="F6:K6"/>
    <mergeCell ref="D87:G87"/>
    <mergeCell ref="A5:B5"/>
    <mergeCell ref="C5:E5"/>
    <mergeCell ref="A6:B6"/>
    <mergeCell ref="C6:E6"/>
    <mergeCell ref="A7:E7"/>
    <mergeCell ref="F7:K9"/>
    <mergeCell ref="A8:B8"/>
    <mergeCell ref="C8:E8"/>
    <mergeCell ref="A9:B9"/>
    <mergeCell ref="A14:B14"/>
    <mergeCell ref="C14:E14"/>
    <mergeCell ref="I51:I52"/>
    <mergeCell ref="I53:I60"/>
    <mergeCell ref="F10:K14"/>
    <mergeCell ref="C4:E4"/>
    <mergeCell ref="C9:E9"/>
    <mergeCell ref="A13:B13"/>
    <mergeCell ref="C13:E13"/>
    <mergeCell ref="B146:C146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6:C136"/>
    <mergeCell ref="B137:C137"/>
  </mergeCells>
  <phoneticPr fontId="8" type="noConversion"/>
  <conditionalFormatting sqref="E41:F60">
    <cfRule type="cellIs" dxfId="1" priority="2" operator="lessThanOrEqual">
      <formula>20</formula>
    </cfRule>
  </conditionalFormatting>
  <conditionalFormatting sqref="J65:J72 H73:H85">
    <cfRule type="cellIs" dxfId="0" priority="1" operator="equal">
      <formula>0</formula>
    </cfRule>
  </conditionalFormatting>
  <printOptions horizontalCentered="1"/>
  <pageMargins left="0.27559055118110237" right="0.31496062992125984" top="0.74803149606299213" bottom="0.74803149606299213" header="0.31496062992125984" footer="0.31496062992125984"/>
  <pageSetup paperSize="9" scale="89" orientation="portrait" r:id="rId1"/>
  <headerFooter>
    <oddHeader>&amp;R&amp;G</oddHeader>
    <oddFooter>&amp;LDuckdatum: &amp;D
&amp;F&amp;R&amp;P/&amp;N</oddFooter>
  </headerFooter>
  <rowBreaks count="4" manualBreakCount="4">
    <brk id="38" max="10" man="1"/>
    <brk id="62" max="10" man="1"/>
    <brk id="85" max="10" man="1"/>
    <brk id="117" max="10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D71A2B64-5432-4847-89D5-FBE065188138}">
          <x14:formula1>
            <xm:f>DATEN!$I$1:$J$1</xm:f>
          </x14:formula1>
          <xm:sqref>I3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F4510-6A5C-4AF7-BC26-9500ACB8332D}">
  <sheetPr codeName="Tabelle1"/>
  <dimension ref="A1:X58"/>
  <sheetViews>
    <sheetView view="pageBreakPreview" topLeftCell="A42" zoomScale="160" zoomScaleNormal="120" zoomScaleSheetLayoutView="160" workbookViewId="0">
      <selection activeCell="A12" sqref="A12:B12"/>
    </sheetView>
  </sheetViews>
  <sheetFormatPr baseColWidth="10" defaultColWidth="11" defaultRowHeight="14.25" x14ac:dyDescent="0.2"/>
  <cols>
    <col min="1" max="3" width="8.875" customWidth="1"/>
    <col min="4" max="5" width="6.5" customWidth="1"/>
    <col min="6" max="6" width="10.625" customWidth="1"/>
    <col min="7" max="7" width="8.75" style="9" customWidth="1"/>
    <col min="8" max="8" width="8.875" style="9" customWidth="1"/>
    <col min="9" max="9" width="4.875" style="9" customWidth="1"/>
    <col min="10" max="10" width="8.75" customWidth="1"/>
    <col min="11" max="11" width="4.5" style="9" customWidth="1"/>
    <col min="12" max="13" width="4.5" customWidth="1"/>
    <col min="14" max="14" width="4.5" style="9" customWidth="1"/>
  </cols>
  <sheetData>
    <row r="1" spans="1:18" ht="23.25" x14ac:dyDescent="0.2">
      <c r="A1" s="238" t="s">
        <v>9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1:18" ht="15" x14ac:dyDescent="0.25">
      <c r="A2" s="253" t="s">
        <v>0</v>
      </c>
      <c r="B2" s="254"/>
      <c r="C2" s="254"/>
      <c r="D2" s="254"/>
      <c r="E2" s="254"/>
      <c r="F2" s="255"/>
      <c r="G2" s="161" t="s">
        <v>1</v>
      </c>
      <c r="H2" s="162"/>
      <c r="I2" s="162"/>
      <c r="J2" s="162"/>
      <c r="K2" s="162"/>
      <c r="L2" s="162"/>
      <c r="M2" s="162"/>
      <c r="N2" s="162"/>
    </row>
    <row r="3" spans="1:18" ht="15" x14ac:dyDescent="0.25">
      <c r="A3" s="165" t="str">
        <f>VLOOKUP(DATEN!I2,DATEN!$I$1:$J$39,IF($K$3="Deutsch", 1, 2),FALSE)</f>
        <v>Kunde Name:</v>
      </c>
      <c r="B3" s="167"/>
      <c r="C3" s="11"/>
      <c r="D3" s="212">
        <f>'Bestellung Commande'!C2</f>
        <v>0</v>
      </c>
      <c r="E3" s="212"/>
      <c r="F3" s="212"/>
      <c r="G3" s="256" t="s">
        <v>2</v>
      </c>
      <c r="H3" s="257"/>
      <c r="I3" s="257"/>
      <c r="J3" s="258"/>
      <c r="K3" s="259" t="s">
        <v>3</v>
      </c>
      <c r="L3" s="260"/>
      <c r="M3" s="260"/>
      <c r="N3" s="261"/>
    </row>
    <row r="4" spans="1:18" ht="15" x14ac:dyDescent="0.25">
      <c r="A4" s="10" t="str">
        <f>VLOOKUP(DATEN!I3,DATEN!$I$1:$J$39,IF($K$3="Deutsch", 1, 2),FALSE)</f>
        <v>Kontaktperson:</v>
      </c>
      <c r="B4" s="11"/>
      <c r="C4" s="11"/>
      <c r="D4" s="212">
        <f>'Bestellung Commande'!C3</f>
        <v>0</v>
      </c>
      <c r="E4" s="212"/>
      <c r="F4" s="212"/>
      <c r="G4" s="256" t="str">
        <f>VLOOKUP(DATEN!I9,DATEN!$I$1:$J$39,IF($K$3="Deutsch", 1, 2),FALSE)</f>
        <v>Bestelldatum:</v>
      </c>
      <c r="H4" s="257"/>
      <c r="I4" s="257"/>
      <c r="J4" s="258"/>
      <c r="K4" s="263">
        <f>'Bestellung Commande'!L3</f>
        <v>0</v>
      </c>
      <c r="L4" s="260"/>
      <c r="M4" s="260"/>
      <c r="N4" s="261"/>
    </row>
    <row r="5" spans="1:18" ht="15" x14ac:dyDescent="0.25">
      <c r="A5" s="165" t="str">
        <f>VLOOKUP(DATEN!I4,DATEN!$I$1:$J$39,IF($K$3="Deutsch", 1, 2),FALSE)</f>
        <v>Kommision:</v>
      </c>
      <c r="B5" s="167"/>
      <c r="C5" s="11"/>
      <c r="D5" s="212">
        <f>'Bestellung Commande'!C4</f>
        <v>0</v>
      </c>
      <c r="E5" s="212"/>
      <c r="F5" s="212"/>
      <c r="G5" s="256" t="str">
        <f>VLOOKUP(DATEN!I10,DATEN!$I$1:$J$39,IF($K$3="Deutsch", 1, 2),FALSE)</f>
        <v>Wunsch Liefertermin:</v>
      </c>
      <c r="H5" s="257"/>
      <c r="I5" s="257"/>
      <c r="J5" s="258"/>
      <c r="K5" s="263">
        <f>'Bestellung Commande'!L4</f>
        <v>0</v>
      </c>
      <c r="L5" s="260"/>
      <c r="M5" s="260"/>
      <c r="N5" s="261"/>
    </row>
    <row r="6" spans="1:18" ht="15" x14ac:dyDescent="0.25">
      <c r="A6" s="165" t="str">
        <f>VLOOKUP(DATEN!I5,DATEN!$I$1:$J$39,IF($K$3="Deutsch", 1, 2),FALSE)</f>
        <v>Kontakt Telefon:</v>
      </c>
      <c r="B6" s="167"/>
      <c r="C6" s="11"/>
      <c r="D6" s="212">
        <f>'Bestellung Commande'!C5</f>
        <v>0</v>
      </c>
      <c r="E6" s="212"/>
      <c r="F6" s="212"/>
      <c r="G6" s="163" t="str">
        <f>VLOOKUP(DATEN!I11,DATEN!$I$1:$J$39,IF($K$3="Deutsch", 1, 2),FALSE)</f>
        <v>Bemerkung:</v>
      </c>
      <c r="H6" s="164"/>
      <c r="I6" s="164"/>
      <c r="J6" s="164"/>
      <c r="K6" s="164"/>
      <c r="L6" s="164"/>
      <c r="M6" s="164"/>
      <c r="N6" s="164"/>
    </row>
    <row r="7" spans="1:18" ht="15" x14ac:dyDescent="0.25">
      <c r="A7" s="264" t="s">
        <v>4</v>
      </c>
      <c r="B7" s="264"/>
      <c r="C7" s="264"/>
      <c r="D7" s="264"/>
      <c r="E7" s="264"/>
      <c r="F7" s="264"/>
      <c r="G7" s="225" t="str">
        <f>VLOOKUP(DATEN!I11,DATEN!$I$1:$J$39,IF($K$3="Deutsch", 1, 2),FALSE)</f>
        <v>Bemerkung:</v>
      </c>
      <c r="H7" s="225"/>
      <c r="I7" s="225"/>
      <c r="J7" s="225"/>
      <c r="K7" s="225"/>
      <c r="L7" s="225"/>
      <c r="M7" s="225"/>
      <c r="N7" s="225"/>
    </row>
    <row r="8" spans="1:18" ht="15" x14ac:dyDescent="0.25">
      <c r="A8" s="165" t="str">
        <f>VLOOKUP(DATEN!I6,DATEN!$I$1:$J$39,IF($K$3="Deutsch", 1, 2),FALSE)</f>
        <v>Strasse:</v>
      </c>
      <c r="B8" s="167"/>
      <c r="C8" s="11"/>
      <c r="D8" s="212">
        <f>'Bestellung Commande'!C8</f>
        <v>0</v>
      </c>
      <c r="E8" s="212"/>
      <c r="F8" s="212"/>
      <c r="G8" s="225"/>
      <c r="H8" s="225"/>
      <c r="I8" s="225"/>
      <c r="J8" s="225"/>
      <c r="K8" s="225"/>
      <c r="L8" s="225"/>
      <c r="M8" s="225"/>
      <c r="N8" s="225"/>
    </row>
    <row r="9" spans="1:18" ht="15" x14ac:dyDescent="0.25">
      <c r="A9" s="165" t="str">
        <f>VLOOKUP(DATEN!I7,DATEN!$I$1:$J$39,IF($K$3="Deutsch", 1, 2),FALSE)</f>
        <v>PLZ Ort:</v>
      </c>
      <c r="B9" s="167"/>
      <c r="C9" s="11"/>
      <c r="D9" s="212">
        <f>'Bestellung Commande'!C9</f>
        <v>0</v>
      </c>
      <c r="E9" s="212"/>
      <c r="F9" s="212"/>
      <c r="G9" s="225"/>
      <c r="H9" s="225"/>
      <c r="I9" s="225"/>
      <c r="J9" s="225"/>
      <c r="K9" s="225"/>
      <c r="L9" s="225"/>
      <c r="M9" s="225"/>
      <c r="N9" s="225"/>
    </row>
    <row r="10" spans="1:18" ht="15" customHeight="1" x14ac:dyDescent="0.25">
      <c r="A10" s="165" t="str">
        <f>VLOOKUP(DATEN!I8,DATEN!$I$1:$J$39,IF($K$3="Deutsch", 1, 2),FALSE)</f>
        <v>Kontakt:</v>
      </c>
      <c r="B10" s="167"/>
      <c r="C10" s="11"/>
      <c r="D10" s="212">
        <f>'Bestellung Commande'!C10</f>
        <v>0</v>
      </c>
      <c r="E10" s="212"/>
      <c r="F10" s="212"/>
      <c r="G10" s="262" t="str">
        <f>IF(VLOOKUP($A$17,'Bestellung Commande'!$A$27:$O$65,10,FALSE)&lt;&gt;"","Sonderbau!!!","")</f>
        <v/>
      </c>
      <c r="H10" s="262"/>
      <c r="I10" s="262"/>
      <c r="J10" s="262"/>
      <c r="K10" s="262"/>
      <c r="L10" s="262"/>
      <c r="M10" s="262"/>
      <c r="N10" s="262"/>
    </row>
    <row r="11" spans="1:18" ht="15" customHeight="1" x14ac:dyDescent="0.25">
      <c r="A11" s="264" t="s">
        <v>5</v>
      </c>
      <c r="B11" s="264"/>
      <c r="C11" s="264"/>
      <c r="D11" s="264"/>
      <c r="E11" s="264"/>
      <c r="F11" s="264"/>
      <c r="G11" s="262"/>
      <c r="H11" s="262"/>
      <c r="I11" s="262"/>
      <c r="J11" s="262"/>
      <c r="K11" s="262"/>
      <c r="L11" s="262"/>
      <c r="M11" s="262"/>
      <c r="N11" s="262"/>
    </row>
    <row r="12" spans="1:18" ht="15" customHeight="1" x14ac:dyDescent="0.4">
      <c r="A12" s="165" t="str">
        <f>VLOOKUP(DATEN!I6,DATEN!$I$1:$J$39,IF($K$3="Deutsch", 1, 2),FALSE)</f>
        <v>Strasse:</v>
      </c>
      <c r="B12" s="167"/>
      <c r="C12" s="11"/>
      <c r="D12" s="212">
        <f>'Bestellung Commande'!C12</f>
        <v>0</v>
      </c>
      <c r="E12" s="212"/>
      <c r="F12" s="212"/>
      <c r="G12" s="146"/>
      <c r="H12" s="146"/>
      <c r="I12" s="146"/>
      <c r="J12" s="146"/>
      <c r="K12" s="146"/>
      <c r="L12" s="146"/>
      <c r="M12" s="146"/>
      <c r="N12" s="146"/>
    </row>
    <row r="13" spans="1:18" ht="15" customHeight="1" x14ac:dyDescent="0.4">
      <c r="A13" s="165" t="str">
        <f>VLOOKUP(DATEN!I7,DATEN!$I$1:$J$39,IF($K$3="Deutsch", 1, 2),FALSE)</f>
        <v>PLZ Ort:</v>
      </c>
      <c r="B13" s="167"/>
      <c r="C13" s="11"/>
      <c r="D13" s="212">
        <f>'Bestellung Commande'!C13</f>
        <v>0</v>
      </c>
      <c r="E13" s="212"/>
      <c r="F13" s="212"/>
      <c r="G13" s="146"/>
      <c r="H13" s="146"/>
      <c r="I13" s="146"/>
      <c r="J13" s="146"/>
      <c r="K13" s="146"/>
      <c r="L13" s="146"/>
      <c r="M13" s="146"/>
      <c r="N13" s="146"/>
    </row>
    <row r="14" spans="1:18" ht="15" customHeight="1" x14ac:dyDescent="0.4">
      <c r="A14" s="165" t="str">
        <f>VLOOKUP(DATEN!I8,DATEN!$I$1:$J$39,IF($K$3="Deutsch", 1, 2),FALSE)</f>
        <v>Kontakt:</v>
      </c>
      <c r="B14" s="167"/>
      <c r="C14" s="11"/>
      <c r="D14" s="212">
        <f>'Bestellung Commande'!C14</f>
        <v>0</v>
      </c>
      <c r="E14" s="212"/>
      <c r="F14" s="212"/>
      <c r="G14" s="146"/>
      <c r="H14" s="146"/>
      <c r="I14" s="146"/>
      <c r="J14" s="146"/>
      <c r="K14" s="146"/>
      <c r="L14" s="146"/>
      <c r="M14" s="146"/>
      <c r="N14" s="146"/>
    </row>
    <row r="15" spans="1:18" ht="15.75" thickBot="1" x14ac:dyDescent="0.3">
      <c r="A15" s="140" t="str">
        <f>'Bestellung Commande'!A67</f>
        <v>V9.5</v>
      </c>
      <c r="B15" s="14"/>
      <c r="C15" s="14"/>
      <c r="D15" s="15"/>
      <c r="E15" s="15"/>
      <c r="F15" s="15"/>
      <c r="G15" s="13"/>
      <c r="H15" s="13"/>
      <c r="I15" s="13"/>
      <c r="J15" s="13"/>
      <c r="K15" s="13"/>
      <c r="L15" s="13"/>
      <c r="M15" s="16">
        <f>'Bestellung Commande'!N24</f>
        <v>73</v>
      </c>
      <c r="N15" s="13"/>
      <c r="O15" s="20" t="s">
        <v>220</v>
      </c>
      <c r="P15" s="9"/>
      <c r="Q15" s="9"/>
      <c r="R15" s="9"/>
    </row>
    <row r="16" spans="1:18" s="19" customFormat="1" ht="28.5" customHeight="1" x14ac:dyDescent="0.2">
      <c r="A16" s="17" t="s">
        <v>216</v>
      </c>
      <c r="B16" s="176" t="str">
        <f>VLOOKUP(DATEN!I14,DATEN!$I$1:$J$39,IF($K$3="Deutsch", 1, 2),FALSE)</f>
        <v>Anz.
Flügel</v>
      </c>
      <c r="C16" s="176"/>
      <c r="D16" s="17" t="str">
        <f>VLOOKUP(DATEN!I15,DATEN!$I$1:$J$39,IF($K$3="Deutsch", 1, 2),FALSE)</f>
        <v>Stk Schw.</v>
      </c>
      <c r="E16" s="17" t="str">
        <f>VLOOKUP(DATEN!I16,DATEN!$I$1:$J$39,IF($K$3="Deutsch", 1, 2),FALSE)</f>
        <v>RA</v>
      </c>
      <c r="F16" s="17" t="str">
        <f>VLOOKUP(DATEN!I17,DATEN!$I$1:$J$39,IF($K$3="Deutsch", 1, 2),FALSE)</f>
        <v>RBL 
(min45)</v>
      </c>
      <c r="G16" s="17" t="str">
        <f>VLOOKUP(DATEN!I18,DATEN!$I$1:$J$39,IF($K$3="Deutsch", 1, 2),FALSE)</f>
        <v>RBR 
(min45)</v>
      </c>
      <c r="H16" s="17"/>
      <c r="I16" s="184" t="str">
        <f>VLOOKUP(DATEN!I19,DATEN!$I$1:$J$39,IF($K$3="Deutsch", 1, 2),FALSE)</f>
        <v>Verbreiterungen</v>
      </c>
      <c r="J16" s="185"/>
      <c r="K16" s="185"/>
      <c r="L16" s="185"/>
      <c r="M16" s="18" t="str">
        <f>VLOOKUP(DATEN!I20,DATEN!$I$1:$J$39,IF($K$3="Deutsch",1,2),FALSE)</f>
        <v>Total</v>
      </c>
      <c r="N16" s="17"/>
      <c r="O16" s="20" t="str">
        <f>E25</f>
        <v>Profil</v>
      </c>
      <c r="P16" s="20" t="str">
        <f>A26</f>
        <v>Links</v>
      </c>
      <c r="Q16" s="20" t="str">
        <f>A27</f>
        <v>Rechts</v>
      </c>
      <c r="R16" s="20" t="str">
        <f>A28</f>
        <v>Mittelteil</v>
      </c>
    </row>
    <row r="17" spans="1:24" ht="15" thickBot="1" x14ac:dyDescent="0.25">
      <c r="A17" s="41">
        <v>1</v>
      </c>
      <c r="B17" s="268">
        <f>VLOOKUP($A$17,'Bestellung Commande'!$A$27:$O$65,3,FALSE)</f>
        <v>0</v>
      </c>
      <c r="C17" s="268"/>
      <c r="D17" s="41">
        <f>VLOOKUP($A$17,'Bestellung Commande'!$A$27:$O$65,5,FALSE)</f>
        <v>0</v>
      </c>
      <c r="E17" s="41">
        <f>VLOOKUP($A$17,'Bestellung Commande'!$A$27:$O$65,6,FALSE)</f>
        <v>0</v>
      </c>
      <c r="F17" s="41">
        <f>VLOOKUP($A$17,'Bestellung Commande'!$A$27:$O$65,7,FALSE)</f>
        <v>0</v>
      </c>
      <c r="G17" s="41">
        <f>VLOOKUP($A$17,'Bestellung Commande'!$A$27:$O$65,8,FALSE)</f>
        <v>0</v>
      </c>
      <c r="H17" s="41">
        <f>VLOOKUP($A$17,'Bestellung Commande'!$A$27:$O$65,9,FALSE)</f>
        <v>0</v>
      </c>
      <c r="I17" s="22">
        <f>VLOOKUP($A$17,'Bestellung Commande'!$A$27:$O$65,10,FALSE)</f>
        <v>0</v>
      </c>
      <c r="J17" s="23">
        <f>VLOOKUP($A$17,'Bestellung Commande'!$A$27:$O$65,11,FALSE)</f>
        <v>0</v>
      </c>
      <c r="K17" s="23">
        <f>VLOOKUP($A$17,'Bestellung Commande'!$A$27:$O$65,12,FALSE)</f>
        <v>0</v>
      </c>
      <c r="L17" s="23">
        <f>VLOOKUP($A$17,'Bestellung Commande'!$A$27:$O$65,13,FALSE)</f>
        <v>0</v>
      </c>
      <c r="M17" s="125">
        <f>VLOOKUP($A$17,'Bestellung Commande'!$A$27:$O$65,14,FALSE)</f>
        <v>0</v>
      </c>
      <c r="N17" s="24"/>
      <c r="O17" s="9" t="str">
        <f>F25</f>
        <v>C298927</v>
      </c>
      <c r="P17" s="29">
        <f>F26</f>
        <v>20</v>
      </c>
      <c r="Q17" s="29">
        <f>F27</f>
        <v>20</v>
      </c>
      <c r="R17" s="29">
        <f>F28</f>
        <v>-42</v>
      </c>
    </row>
    <row r="18" spans="1:24" x14ac:dyDescent="0.2">
      <c r="B18" s="41" cm="1">
        <f t="array" ref="B18">INDEX('Bestellung Commande'!$C$27:$C$66, MATCH($A$17, 'Bestellung Commande'!$A$27:$A$66, 0) + 1)</f>
        <v>0</v>
      </c>
      <c r="C18" s="41" cm="1">
        <f t="array" ref="C18">INDEX('Bestellung Commande'!$D$27:$D$66, MATCH($A$17, 'Bestellung Commande'!$A$27:$A$66, 0) + 1)</f>
        <v>0</v>
      </c>
    </row>
    <row r="20" spans="1:24" ht="15" x14ac:dyDescent="0.25">
      <c r="A20" s="267" t="s">
        <v>10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</row>
    <row r="21" spans="1:24" ht="15" x14ac:dyDescent="0.25">
      <c r="E21" s="25" t="s">
        <v>11</v>
      </c>
      <c r="F21" s="9" t="s">
        <v>12</v>
      </c>
      <c r="G21"/>
      <c r="H21"/>
      <c r="I21"/>
    </row>
    <row r="22" spans="1:24" x14ac:dyDescent="0.2">
      <c r="E22" t="s">
        <v>13</v>
      </c>
      <c r="F22" s="26">
        <f>E17</f>
        <v>0</v>
      </c>
      <c r="G22"/>
      <c r="H22"/>
      <c r="I22"/>
    </row>
    <row r="23" spans="1:24" x14ac:dyDescent="0.2">
      <c r="F23" s="9">
        <f>B17</f>
        <v>0</v>
      </c>
      <c r="G23"/>
      <c r="H23"/>
      <c r="I23"/>
    </row>
    <row r="24" spans="1:24" ht="15" x14ac:dyDescent="0.25">
      <c r="A24" s="267" t="s">
        <v>14</v>
      </c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</row>
    <row r="25" spans="1:24" ht="15" x14ac:dyDescent="0.25">
      <c r="E25" s="25" t="s">
        <v>11</v>
      </c>
      <c r="F25" s="9" t="s">
        <v>15</v>
      </c>
      <c r="G25"/>
      <c r="H25"/>
      <c r="I25"/>
    </row>
    <row r="26" spans="1:24" x14ac:dyDescent="0.2">
      <c r="A26" t="s">
        <v>16</v>
      </c>
      <c r="E26" t="s">
        <v>13</v>
      </c>
      <c r="F26" s="26">
        <f>F17+20</f>
        <v>20</v>
      </c>
      <c r="G26"/>
      <c r="H26"/>
      <c r="I26"/>
      <c r="W26" s="121" t="s">
        <v>208</v>
      </c>
      <c r="X26" s="122">
        <f>F37-F36</f>
        <v>-100</v>
      </c>
    </row>
    <row r="27" spans="1:24" x14ac:dyDescent="0.2">
      <c r="A27" t="s">
        <v>17</v>
      </c>
      <c r="E27" t="s">
        <v>13</v>
      </c>
      <c r="F27" s="26">
        <f>G17+20</f>
        <v>20</v>
      </c>
      <c r="G27"/>
      <c r="H27"/>
      <c r="I27"/>
      <c r="W27" t="s">
        <v>209</v>
      </c>
      <c r="X27">
        <f>[1]DATEN!D14</f>
        <v>300</v>
      </c>
    </row>
    <row r="28" spans="1:24" x14ac:dyDescent="0.2">
      <c r="A28" t="s">
        <v>18</v>
      </c>
      <c r="E28" t="s">
        <v>13</v>
      </c>
      <c r="F28" s="26">
        <f>(E17-(F26+F27))-2</f>
        <v>-42</v>
      </c>
      <c r="G28"/>
      <c r="H28"/>
      <c r="I28"/>
      <c r="P28" t="s">
        <v>293</v>
      </c>
      <c r="T28" t="s">
        <v>294</v>
      </c>
      <c r="W28" t="s">
        <v>210</v>
      </c>
      <c r="X28">
        <f>ROUNDUP(X26/X27,0)</f>
        <v>-1</v>
      </c>
    </row>
    <row r="29" spans="1:24" ht="15" x14ac:dyDescent="0.25">
      <c r="A29" s="267" t="s">
        <v>19</v>
      </c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7" t="str">
        <f t="shared" ref="O29:O39" si="0">IF(AND($F$32&gt;=Q29,$F$32&lt;R29),P29,"")</f>
        <v/>
      </c>
      <c r="P29" s="28" t="str">
        <f>" "</f>
        <v xml:space="preserve"> </v>
      </c>
      <c r="Q29" s="28">
        <v>-1000000</v>
      </c>
      <c r="R29" s="28">
        <v>0</v>
      </c>
      <c r="S29" s="27" t="str">
        <f t="shared" ref="S29:S39" si="1">IF(AND($G$32&gt;=U29,$G$32&lt;V29),T29,"")</f>
        <v/>
      </c>
      <c r="T29" s="28" t="str">
        <f t="shared" ref="T29:T30" si="2">P29</f>
        <v xml:space="preserve"> </v>
      </c>
      <c r="U29" s="28">
        <f t="shared" ref="U29:U30" si="3">Q29</f>
        <v>-1000000</v>
      </c>
      <c r="V29" s="28">
        <f t="shared" ref="V29:V30" si="4">R29</f>
        <v>0</v>
      </c>
      <c r="W29" t="s">
        <v>211</v>
      </c>
      <c r="X29">
        <f>X26/X28</f>
        <v>100</v>
      </c>
    </row>
    <row r="30" spans="1:24" ht="15" x14ac:dyDescent="0.25">
      <c r="F30" s="25" t="s">
        <v>293</v>
      </c>
      <c r="G30" s="25" t="s">
        <v>294</v>
      </c>
      <c r="H30"/>
      <c r="I30"/>
      <c r="K30"/>
      <c r="N30"/>
      <c r="O30" s="27" t="str">
        <f t="shared" si="0"/>
        <v/>
      </c>
      <c r="P30" s="28" t="s">
        <v>299</v>
      </c>
      <c r="Q30" s="28">
        <v>0.1</v>
      </c>
      <c r="R30" s="28">
        <v>247.9</v>
      </c>
      <c r="S30" s="27" t="str">
        <f t="shared" si="1"/>
        <v/>
      </c>
      <c r="T30" s="28" t="str">
        <f t="shared" si="2"/>
        <v>Zu kurz</v>
      </c>
      <c r="U30" s="28">
        <f t="shared" si="3"/>
        <v>0.1</v>
      </c>
      <c r="V30" s="28">
        <f t="shared" si="4"/>
        <v>247.9</v>
      </c>
    </row>
    <row r="31" spans="1:24" x14ac:dyDescent="0.2">
      <c r="F31" s="9" t="str">
        <f>O29&amp;O31&amp;O32&amp;O33&amp;O34&amp;O35&amp;O36&amp;O37&amp;O38&amp;O39&amp;O30</f>
        <v/>
      </c>
      <c r="G31" s="9" t="str">
        <f>S29&amp;S31&amp;S32&amp;S33&amp;S34&amp;S35&amp;S36&amp;S37&amp;S38&amp;S39&amp;S30</f>
        <v/>
      </c>
      <c r="I31"/>
      <c r="O31" s="27" t="str">
        <f t="shared" si="0"/>
        <v/>
      </c>
      <c r="P31" s="28" t="str">
        <f>DATEN!M7</f>
        <v>C555366</v>
      </c>
      <c r="Q31" s="28">
        <f>DATEN!N7</f>
        <v>275</v>
      </c>
      <c r="R31" s="28">
        <f>DATEN!O7</f>
        <v>400</v>
      </c>
      <c r="S31" s="27" t="str">
        <f t="shared" si="1"/>
        <v/>
      </c>
      <c r="T31" s="28" t="str">
        <f>P31</f>
        <v>C555366</v>
      </c>
      <c r="U31" s="28">
        <f t="shared" ref="U31:V39" si="5">Q31</f>
        <v>275</v>
      </c>
      <c r="V31" s="28">
        <f t="shared" si="5"/>
        <v>400</v>
      </c>
      <c r="W31">
        <v>1</v>
      </c>
      <c r="X31" s="29">
        <f>F36</f>
        <v>50</v>
      </c>
    </row>
    <row r="32" spans="1:24" x14ac:dyDescent="0.2">
      <c r="A32" t="s">
        <v>13</v>
      </c>
      <c r="F32" s="26" t="b">
        <f>IF(AND(B17=1,B18=0),H17,IF(AND(B17=1,B18&gt;0),B18,IF(AND(B17=2,B18=0),(H17-20)/2,IF(AND(B17=2,B18&gt;0),B18))))</f>
        <v>0</v>
      </c>
      <c r="G32" s="26">
        <f>IF(B17=1,0,IF(AND(B17=2,C18=0),0,C18))</f>
        <v>0</v>
      </c>
      <c r="I32"/>
      <c r="O32" s="27" t="str">
        <f t="shared" si="0"/>
        <v/>
      </c>
      <c r="P32" s="28" t="str">
        <f>DATEN!M8</f>
        <v>C555367</v>
      </c>
      <c r="Q32" s="28">
        <f>DATEN!N8</f>
        <v>400</v>
      </c>
      <c r="R32" s="28">
        <f>DATEN!O8</f>
        <v>550</v>
      </c>
      <c r="S32" s="27" t="str">
        <f t="shared" si="1"/>
        <v/>
      </c>
      <c r="T32" s="28" t="str">
        <f t="shared" ref="T32:T39" si="6">P32</f>
        <v>C555367</v>
      </c>
      <c r="U32" s="28">
        <f t="shared" si="5"/>
        <v>400</v>
      </c>
      <c r="V32" s="28">
        <f t="shared" si="5"/>
        <v>550</v>
      </c>
      <c r="W32">
        <v>2</v>
      </c>
      <c r="X32" s="29">
        <f>ROUND(IF(W32-1&gt;$X$28,0,X31+$X$29),0)</f>
        <v>0</v>
      </c>
    </row>
    <row r="33" spans="1:24" x14ac:dyDescent="0.2">
      <c r="A33" t="s">
        <v>23</v>
      </c>
      <c r="F33" s="30">
        <f>IF(AND(B17=2,B18=0),B17,1)*D17</f>
        <v>0</v>
      </c>
      <c r="G33" s="30">
        <f>IF(G32&gt;0,1,0)*D17</f>
        <v>0</v>
      </c>
      <c r="I33"/>
      <c r="O33" s="27" t="str">
        <f t="shared" si="0"/>
        <v/>
      </c>
      <c r="P33" s="28" t="str">
        <f>DATEN!M9</f>
        <v>C555368</v>
      </c>
      <c r="Q33" s="28">
        <f>DATEN!N9</f>
        <v>550</v>
      </c>
      <c r="R33" s="28">
        <f>DATEN!O9</f>
        <v>700</v>
      </c>
      <c r="S33" s="27" t="str">
        <f t="shared" si="1"/>
        <v/>
      </c>
      <c r="T33" s="28" t="str">
        <f t="shared" si="6"/>
        <v>C555368</v>
      </c>
      <c r="U33" s="28">
        <f t="shared" si="5"/>
        <v>550</v>
      </c>
      <c r="V33" s="28">
        <f t="shared" si="5"/>
        <v>700</v>
      </c>
      <c r="W33">
        <v>3</v>
      </c>
      <c r="X33" s="29">
        <f t="shared" ref="X33:X40" si="7">ROUND(IF(W33-1&gt;$X$28,0,X32+$X$29),0)</f>
        <v>0</v>
      </c>
    </row>
    <row r="34" spans="1:24" ht="15" x14ac:dyDescent="0.25">
      <c r="A34" s="267" t="s">
        <v>25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7" t="str">
        <f>IF(AND($F$32&gt;=Q34,$F$32&lt;R34),P34,"")</f>
        <v/>
      </c>
      <c r="P34" s="28" t="str">
        <f>DATEN!M10</f>
        <v>C555369</v>
      </c>
      <c r="Q34" s="28">
        <f>DATEN!N10</f>
        <v>700</v>
      </c>
      <c r="R34" s="28">
        <f>DATEN!O10</f>
        <v>850</v>
      </c>
      <c r="S34" s="27" t="str">
        <f t="shared" si="1"/>
        <v/>
      </c>
      <c r="T34" s="28" t="str">
        <f t="shared" si="6"/>
        <v>C555369</v>
      </c>
      <c r="U34" s="28">
        <f t="shared" si="5"/>
        <v>700</v>
      </c>
      <c r="V34" s="28">
        <f t="shared" si="5"/>
        <v>850</v>
      </c>
      <c r="W34">
        <v>4</v>
      </c>
      <c r="X34" s="29">
        <f t="shared" si="7"/>
        <v>0</v>
      </c>
    </row>
    <row r="35" spans="1:24" ht="15" x14ac:dyDescent="0.25">
      <c r="A35" s="31" t="s">
        <v>27</v>
      </c>
      <c r="F35" s="9" t="s">
        <v>28</v>
      </c>
      <c r="G35" s="32" t="s">
        <v>29</v>
      </c>
      <c r="H35" s="32"/>
      <c r="I35"/>
      <c r="O35" s="27" t="str">
        <f t="shared" si="0"/>
        <v/>
      </c>
      <c r="P35" s="28" t="str">
        <f>DATEN!M11</f>
        <v>C555370</v>
      </c>
      <c r="Q35" s="28">
        <f>DATEN!N11</f>
        <v>850</v>
      </c>
      <c r="R35" s="28">
        <f>DATEN!O11</f>
        <v>1000</v>
      </c>
      <c r="S35" s="27" t="str">
        <f>IF(AND($G$32&gt;=U35,$G$32&lt;V35),T35,"")</f>
        <v/>
      </c>
      <c r="T35" s="28" t="str">
        <f t="shared" si="6"/>
        <v>C555370</v>
      </c>
      <c r="U35" s="28">
        <f t="shared" si="5"/>
        <v>850</v>
      </c>
      <c r="V35" s="28">
        <f t="shared" si="5"/>
        <v>1000</v>
      </c>
      <c r="W35">
        <v>5</v>
      </c>
      <c r="X35" s="29">
        <f t="shared" si="7"/>
        <v>0</v>
      </c>
    </row>
    <row r="36" spans="1:24" x14ac:dyDescent="0.2">
      <c r="A36" t="s">
        <v>31</v>
      </c>
      <c r="F36" s="26">
        <f>F17+50</f>
        <v>50</v>
      </c>
      <c r="G36"/>
      <c r="H36" t="s">
        <v>206</v>
      </c>
      <c r="I36"/>
      <c r="O36" s="27" t="str">
        <f t="shared" si="0"/>
        <v/>
      </c>
      <c r="P36" s="28" t="str">
        <f>DATEN!M12</f>
        <v>C555371</v>
      </c>
      <c r="Q36" s="28">
        <f>DATEN!N12</f>
        <v>1000</v>
      </c>
      <c r="R36" s="28">
        <f>DATEN!O12</f>
        <v>1150</v>
      </c>
      <c r="S36" s="27" t="str">
        <f t="shared" si="1"/>
        <v/>
      </c>
      <c r="T36" s="28" t="str">
        <f t="shared" si="6"/>
        <v>C555371</v>
      </c>
      <c r="U36" s="28">
        <f t="shared" si="5"/>
        <v>1000</v>
      </c>
      <c r="V36" s="28">
        <f t="shared" si="5"/>
        <v>1150</v>
      </c>
      <c r="W36">
        <v>6</v>
      </c>
      <c r="X36" s="29">
        <f t="shared" si="7"/>
        <v>0</v>
      </c>
    </row>
    <row r="37" spans="1:24" x14ac:dyDescent="0.2">
      <c r="A37" t="s">
        <v>33</v>
      </c>
      <c r="F37" s="26">
        <f>F17+H17-DATEN!$D$13</f>
        <v>-50</v>
      </c>
      <c r="H37" t="s">
        <v>36</v>
      </c>
      <c r="I37"/>
      <c r="J37" s="9">
        <f>X28+1</f>
        <v>0</v>
      </c>
      <c r="O37" s="27" t="str">
        <f t="shared" si="0"/>
        <v/>
      </c>
      <c r="P37" s="28" t="str">
        <f>DATEN!M13</f>
        <v>C555372</v>
      </c>
      <c r="Q37" s="28">
        <f>DATEN!N13</f>
        <v>1150</v>
      </c>
      <c r="R37" s="28">
        <f>DATEN!O13</f>
        <v>1300</v>
      </c>
      <c r="S37" s="27" t="str">
        <f t="shared" si="1"/>
        <v/>
      </c>
      <c r="T37" s="28" t="str">
        <f t="shared" si="6"/>
        <v>C555372</v>
      </c>
      <c r="U37" s="28">
        <f t="shared" si="5"/>
        <v>1150</v>
      </c>
      <c r="V37" s="28">
        <f t="shared" si="5"/>
        <v>1300</v>
      </c>
      <c r="W37">
        <v>7</v>
      </c>
      <c r="X37" s="29">
        <f t="shared" si="7"/>
        <v>0</v>
      </c>
    </row>
    <row r="38" spans="1:24" x14ac:dyDescent="0.2">
      <c r="A38" s="33" t="s">
        <v>35</v>
      </c>
      <c r="F38" s="123" t="str">
        <f>X31&amp;IF(X32="",""," / ")&amp;X32  &amp; IF(X33="",""," / ")&amp;X33&amp; IF(X34="",""," / ")&amp;X34&amp; IF(X35="",""," / ")&amp;X35&amp; IF(X36="",""," / ")&amp;X36&amp; IF(X37="",""," / ")&amp;X37&amp; IF(X38="",""," / ")&amp;X38&amp; IF(X39="",""," / ")&amp;X39&amp; IF(X40="",""," / ")&amp;X40</f>
        <v>50 / 0 / 0 / 0 / 0 / 0 / 0 / 0 / 0 / 0</v>
      </c>
      <c r="O38" s="27" t="str">
        <f t="shared" si="0"/>
        <v/>
      </c>
      <c r="P38" s="28" t="str">
        <f>DATEN!M14</f>
        <v>C555373</v>
      </c>
      <c r="Q38" s="28">
        <f>DATEN!N14</f>
        <v>1300</v>
      </c>
      <c r="R38" s="28">
        <f>DATEN!O14</f>
        <v>1450</v>
      </c>
      <c r="S38" s="27" t="str">
        <f t="shared" si="1"/>
        <v/>
      </c>
      <c r="T38" s="28" t="str">
        <f t="shared" si="6"/>
        <v>C555373</v>
      </c>
      <c r="U38" s="28">
        <f t="shared" si="5"/>
        <v>1300</v>
      </c>
      <c r="V38" s="28">
        <f t="shared" si="5"/>
        <v>1450</v>
      </c>
      <c r="W38">
        <v>8</v>
      </c>
      <c r="X38" s="29">
        <f t="shared" si="7"/>
        <v>0</v>
      </c>
    </row>
    <row r="39" spans="1:24" x14ac:dyDescent="0.2">
      <c r="F39" s="9"/>
      <c r="G39"/>
      <c r="H39"/>
      <c r="I39"/>
      <c r="O39" s="27" t="str">
        <f t="shared" si="0"/>
        <v/>
      </c>
      <c r="P39" s="28" t="str">
        <f>DATEN!M15</f>
        <v>Zu Lang</v>
      </c>
      <c r="Q39" s="28">
        <f>DATEN!N15</f>
        <v>1450.1</v>
      </c>
      <c r="R39" s="28">
        <f>DATEN!O15</f>
        <v>1000000</v>
      </c>
      <c r="S39" s="27" t="str">
        <f t="shared" si="1"/>
        <v/>
      </c>
      <c r="T39" s="28" t="str">
        <f t="shared" si="6"/>
        <v>Zu Lang</v>
      </c>
      <c r="U39" s="28">
        <f t="shared" si="5"/>
        <v>1450.1</v>
      </c>
      <c r="V39" s="28">
        <f t="shared" si="5"/>
        <v>1000000</v>
      </c>
      <c r="W39">
        <v>9</v>
      </c>
      <c r="X39" s="29">
        <f t="shared" si="7"/>
        <v>0</v>
      </c>
    </row>
    <row r="40" spans="1:24" ht="15" x14ac:dyDescent="0.25">
      <c r="A40" s="267" t="s">
        <v>39</v>
      </c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W40">
        <v>10</v>
      </c>
      <c r="X40" s="29">
        <f t="shared" si="7"/>
        <v>0</v>
      </c>
    </row>
    <row r="41" spans="1:24" x14ac:dyDescent="0.2">
      <c r="A41" t="s">
        <v>41</v>
      </c>
      <c r="F41" s="26">
        <f>G17-15</f>
        <v>-15</v>
      </c>
      <c r="G41"/>
      <c r="H41"/>
      <c r="I41"/>
    </row>
    <row r="42" spans="1:24" x14ac:dyDescent="0.2">
      <c r="A42" t="s">
        <v>42</v>
      </c>
      <c r="F42" s="26">
        <f>E17-G17+15</f>
        <v>15</v>
      </c>
      <c r="G42"/>
      <c r="H42"/>
      <c r="I42"/>
    </row>
    <row r="43" spans="1:24" x14ac:dyDescent="0.2">
      <c r="A43" t="s">
        <v>43</v>
      </c>
      <c r="F43" s="26">
        <f>G17-35</f>
        <v>-35</v>
      </c>
      <c r="G43"/>
      <c r="H43"/>
      <c r="I43"/>
    </row>
    <row r="44" spans="1:24" x14ac:dyDescent="0.2">
      <c r="A44" t="s">
        <v>44</v>
      </c>
      <c r="F44" s="26">
        <f>E17-G17+35</f>
        <v>35</v>
      </c>
      <c r="G44"/>
      <c r="H44"/>
      <c r="I44"/>
    </row>
    <row r="45" spans="1:24" x14ac:dyDescent="0.2">
      <c r="A45" t="s">
        <v>45</v>
      </c>
      <c r="F45" s="26">
        <f>F17-23</f>
        <v>-23</v>
      </c>
      <c r="G45"/>
      <c r="H45"/>
      <c r="I45"/>
    </row>
    <row r="46" spans="1:24" x14ac:dyDescent="0.2">
      <c r="A46" t="s">
        <v>46</v>
      </c>
      <c r="F46" s="26">
        <f>E17-G17+23</f>
        <v>23</v>
      </c>
      <c r="G46"/>
      <c r="H46"/>
      <c r="I46"/>
    </row>
    <row r="47" spans="1:24" x14ac:dyDescent="0.2">
      <c r="F47" s="9"/>
      <c r="G47"/>
      <c r="H47"/>
      <c r="I47"/>
      <c r="P47" s="9"/>
    </row>
    <row r="48" spans="1:24" ht="15" x14ac:dyDescent="0.25">
      <c r="A48" s="34" t="s">
        <v>47</v>
      </c>
      <c r="B48" s="35"/>
      <c r="C48" s="35"/>
      <c r="D48" s="35"/>
      <c r="E48" s="35"/>
      <c r="F48" s="35" t="s">
        <v>48</v>
      </c>
      <c r="G48" s="35"/>
      <c r="H48" s="35"/>
      <c r="I48" s="35"/>
      <c r="J48" s="35"/>
      <c r="K48" s="35"/>
      <c r="L48" s="35"/>
    </row>
    <row r="49" spans="1:14" x14ac:dyDescent="0.2">
      <c r="A49" t="s">
        <v>49</v>
      </c>
      <c r="F49" s="26">
        <v>25</v>
      </c>
      <c r="G49"/>
      <c r="H49"/>
      <c r="I49"/>
    </row>
    <row r="50" spans="1:14" x14ac:dyDescent="0.2">
      <c r="A50" t="s">
        <v>33</v>
      </c>
      <c r="F50" s="26">
        <f>F28-25</f>
        <v>-67</v>
      </c>
      <c r="G50"/>
      <c r="H50"/>
      <c r="I50"/>
    </row>
    <row r="51" spans="1:14" x14ac:dyDescent="0.2">
      <c r="A51" s="33" t="s">
        <v>35</v>
      </c>
      <c r="F51" s="36" t="s">
        <v>50</v>
      </c>
      <c r="G51"/>
      <c r="H51"/>
      <c r="I51" t="s">
        <v>36</v>
      </c>
    </row>
    <row r="52" spans="1:14" x14ac:dyDescent="0.2">
      <c r="F52" s="129" t="str">
        <f>IF(B17=2,"Achtung!! 2 Flüglig!! Mittleres Loch auslassen","")</f>
        <v/>
      </c>
      <c r="G52"/>
      <c r="H52"/>
      <c r="I52"/>
    </row>
    <row r="53" spans="1:14" ht="15" x14ac:dyDescent="0.25">
      <c r="A53" s="267" t="s">
        <v>51</v>
      </c>
      <c r="B53" s="267"/>
      <c r="C53" s="267"/>
      <c r="D53" s="267"/>
      <c r="E53" s="267"/>
      <c r="F53" s="267"/>
      <c r="G53" s="267"/>
      <c r="H53" s="267"/>
      <c r="I53" s="267"/>
      <c r="J53" s="267"/>
      <c r="K53" s="267"/>
      <c r="L53" s="267"/>
    </row>
    <row r="54" spans="1:14" x14ac:dyDescent="0.2">
      <c r="A54" s="35" t="s">
        <v>52</v>
      </c>
      <c r="B54" s="37" t="s">
        <v>53</v>
      </c>
      <c r="C54" s="37"/>
      <c r="D54" s="206" t="s">
        <v>54</v>
      </c>
      <c r="E54" s="206"/>
      <c r="F54" s="35" t="s">
        <v>55</v>
      </c>
      <c r="G54" s="35"/>
      <c r="H54" s="35"/>
      <c r="I54" s="35"/>
      <c r="J54" s="35"/>
      <c r="K54" s="266" t="s">
        <v>13</v>
      </c>
      <c r="L54" s="266"/>
    </row>
    <row r="55" spans="1:14" x14ac:dyDescent="0.2">
      <c r="A55" s="12">
        <v>1</v>
      </c>
      <c r="B55" s="9">
        <f>VLOOKUP(A17,'Bestellung Commande'!A27:O65,11,FALSE)</f>
        <v>0</v>
      </c>
      <c r="C55" s="9"/>
      <c r="D55" s="252">
        <f>IF(ISERROR(VLOOKUP($B55,DATEN!$A$3:$D$10,2,FALSE)),"",VLOOKUP($B55,DATEN!$A$3:$D$10,2,FALSE))</f>
        <v>0</v>
      </c>
      <c r="E55" s="252"/>
      <c r="F55" s="12">
        <f>IF(ISERROR(VLOOKUP($B55,DATEN!$A$3:$D$10,3,FALSE)),"",VLOOKUP($B55,DATEN!$A$3:$D$10,3,FALSE))</f>
        <v>0</v>
      </c>
      <c r="G55"/>
      <c r="H55"/>
      <c r="K55" s="265">
        <f>$F$22</f>
        <v>0</v>
      </c>
      <c r="L55" s="265"/>
    </row>
    <row r="56" spans="1:14" x14ac:dyDescent="0.2">
      <c r="A56" s="12">
        <v>2</v>
      </c>
      <c r="B56" s="9">
        <f>VLOOKUP(A17,'Bestellung Commande'!A27:O65,12,FALSE)</f>
        <v>0</v>
      </c>
      <c r="C56" s="9"/>
      <c r="D56" s="252">
        <f>IF(ISERROR(VLOOKUP($B56,DATEN!$A$3:$D$10,2,FALSE)),"",VLOOKUP($B56,DATEN!$A$3:$D$10,2,FALSE))</f>
        <v>0</v>
      </c>
      <c r="E56" s="252"/>
      <c r="F56" s="9">
        <f>IF(ISERROR(VLOOKUP($B56,DATEN!$A$3:$D$10,3,FALSE)),"",VLOOKUP($B56,DATEN!$A$3:$D$10,3,FALSE))</f>
        <v>0</v>
      </c>
      <c r="G56"/>
      <c r="H56"/>
      <c r="K56" s="265">
        <f t="shared" ref="K56:K58" si="8">$F$22</f>
        <v>0</v>
      </c>
      <c r="L56" s="265"/>
    </row>
    <row r="57" spans="1:14" x14ac:dyDescent="0.2">
      <c r="A57" s="12">
        <v>3</v>
      </c>
      <c r="B57" s="9">
        <f>VLOOKUP(A17,'Bestellung Commande'!A27:O65,13,FALSE)</f>
        <v>0</v>
      </c>
      <c r="C57" s="9"/>
      <c r="D57" s="252">
        <f>IF(ISERROR(VLOOKUP($B57,DATEN!$A$3:$D$10,2,FALSE)),"",VLOOKUP($B57,DATEN!$A$3:$D$10,2,FALSE))</f>
        <v>0</v>
      </c>
      <c r="E57" s="252"/>
      <c r="F57" s="9">
        <f>IF(ISERROR(VLOOKUP($B57,DATEN!$A$3:$D$10,3,FALSE)),"",VLOOKUP($B57,DATEN!$A$3:$D$10,3,FALSE))</f>
        <v>0</v>
      </c>
      <c r="K57" s="265">
        <f t="shared" si="8"/>
        <v>0</v>
      </c>
      <c r="L57" s="265"/>
    </row>
    <row r="58" spans="1:14" x14ac:dyDescent="0.2">
      <c r="A58" s="12">
        <v>4</v>
      </c>
      <c r="B58" s="9">
        <f>VLOOKUP(A17,'Bestellung Commande'!A27:O65,14,FALSE)</f>
        <v>0</v>
      </c>
      <c r="C58" s="9"/>
      <c r="D58" s="252">
        <f>IF(ISERROR(VLOOKUP($B58,DATEN!$A$3:$D$10,2,FALSE)),"",VLOOKUP($B58,DATEN!$A$3:$D$10,2,FALSE))</f>
        <v>0</v>
      </c>
      <c r="E58" s="252"/>
      <c r="F58" s="9">
        <f>IF(ISERROR(VLOOKUP($B58,DATEN!$A$3:$D$10,3,FALSE)),"",VLOOKUP($B58,DATEN!$A$3:$D$10,3,FALSE))</f>
        <v>0</v>
      </c>
      <c r="K58" s="265">
        <f t="shared" si="8"/>
        <v>0</v>
      </c>
      <c r="L58" s="265"/>
      <c r="N58" s="46">
        <f>'Bestellung Commande'!B44</f>
        <v>0</v>
      </c>
    </row>
  </sheetData>
  <sheetProtection algorithmName="SHA-512" hashValue="GWeHWnQhZqdDRUEb5OTm6HXZJroTx5zoX88YZNOu6oywJwxe5i4smpftl+BVtWnHcfrjkOjQB2rtwP1Q1/DNlA==" saltValue="1+MxMpy6o/6dF5nxSLhX7A==" spinCount="100000" sheet="1" objects="1" scenarios="1"/>
  <mergeCells count="52">
    <mergeCell ref="B17:C17"/>
    <mergeCell ref="B16:C16"/>
    <mergeCell ref="A1:N1"/>
    <mergeCell ref="K56:L56"/>
    <mergeCell ref="K57:L57"/>
    <mergeCell ref="G5:J5"/>
    <mergeCell ref="K5:N5"/>
    <mergeCell ref="A5:B5"/>
    <mergeCell ref="A8:B8"/>
    <mergeCell ref="D8:F8"/>
    <mergeCell ref="A9:B9"/>
    <mergeCell ref="D9:F9"/>
    <mergeCell ref="A10:B10"/>
    <mergeCell ref="D10:F10"/>
    <mergeCell ref="A11:F11"/>
    <mergeCell ref="A12:B12"/>
    <mergeCell ref="K58:L58"/>
    <mergeCell ref="K54:L54"/>
    <mergeCell ref="G6:N6"/>
    <mergeCell ref="A20:N20"/>
    <mergeCell ref="A24:N24"/>
    <mergeCell ref="A29:N29"/>
    <mergeCell ref="A34:N34"/>
    <mergeCell ref="K55:L55"/>
    <mergeCell ref="A40:L40"/>
    <mergeCell ref="A53:L53"/>
    <mergeCell ref="D13:F13"/>
    <mergeCell ref="A14:B14"/>
    <mergeCell ref="D14:F14"/>
    <mergeCell ref="I16:L16"/>
    <mergeCell ref="D6:F6"/>
    <mergeCell ref="A6:B6"/>
    <mergeCell ref="D12:F12"/>
    <mergeCell ref="A13:B13"/>
    <mergeCell ref="A2:F2"/>
    <mergeCell ref="G2:N2"/>
    <mergeCell ref="D3:F3"/>
    <mergeCell ref="G3:J3"/>
    <mergeCell ref="K3:N3"/>
    <mergeCell ref="A3:B3"/>
    <mergeCell ref="G10:N11"/>
    <mergeCell ref="D4:F4"/>
    <mergeCell ref="G4:J4"/>
    <mergeCell ref="K4:N4"/>
    <mergeCell ref="D5:F5"/>
    <mergeCell ref="A7:F7"/>
    <mergeCell ref="G7:N9"/>
    <mergeCell ref="D55:E55"/>
    <mergeCell ref="D56:E56"/>
    <mergeCell ref="D57:E57"/>
    <mergeCell ref="D58:E58"/>
    <mergeCell ref="D54:E54"/>
  </mergeCells>
  <phoneticPr fontId="8" type="noConversion"/>
  <printOptions horizontalCentered="1"/>
  <pageMargins left="0.27" right="0.31" top="0.74803149606299213" bottom="0.74803149606299213" header="0.31496062992125984" footer="0.31496062992125984"/>
  <pageSetup paperSize="9" scale="87" orientation="portrait" r:id="rId1"/>
  <headerFooter>
    <oddHeader>&amp;R&amp;G</oddHeader>
    <oddFooter>&amp;LDuckdatum: &amp;D
&amp;F&amp;R&amp;P/&amp;N</oddFooter>
  </headerFooter>
  <ignoredErrors>
    <ignoredError sqref="K4:N5 D7:F14 A3:B3 A4:B4 A5:B5 A6:B6 A7:B14" unlockedFormula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DCA79888-6447-4624-A2D7-F9E5024732D4}">
          <x14:formula1>
            <xm:f>DATEN!$I$1:$J$1</xm:f>
          </x14:formula1>
          <xm:sqref>K3:N3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15917-4D5D-45AF-B6BB-883F07EEBF77}">
  <sheetPr codeName="Tabelle3"/>
  <dimension ref="A1:X58"/>
  <sheetViews>
    <sheetView view="pageBreakPreview" topLeftCell="A45" zoomScaleNormal="120" zoomScaleSheetLayoutView="100" workbookViewId="0">
      <selection activeCell="A12" sqref="A12:B12"/>
    </sheetView>
  </sheetViews>
  <sheetFormatPr baseColWidth="10" defaultColWidth="11" defaultRowHeight="14.25" x14ac:dyDescent="0.2"/>
  <cols>
    <col min="1" max="3" width="8.875" customWidth="1"/>
    <col min="4" max="5" width="6.5" customWidth="1"/>
    <col min="6" max="6" width="10.625" customWidth="1"/>
    <col min="7" max="7" width="8.75" style="9" customWidth="1"/>
    <col min="8" max="8" width="8.875" style="9" customWidth="1"/>
    <col min="9" max="9" width="4.875" style="9" customWidth="1"/>
    <col min="10" max="10" width="8.75" customWidth="1"/>
    <col min="11" max="11" width="4.5" style="9" customWidth="1"/>
    <col min="12" max="13" width="4.5" customWidth="1"/>
    <col min="14" max="14" width="4.5" style="9" customWidth="1"/>
  </cols>
  <sheetData>
    <row r="1" spans="1:18" ht="23.25" x14ac:dyDescent="0.2">
      <c r="A1" s="238" t="s">
        <v>9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1:18" ht="15" x14ac:dyDescent="0.25">
      <c r="A2" s="253" t="s">
        <v>0</v>
      </c>
      <c r="B2" s="254"/>
      <c r="C2" s="254"/>
      <c r="D2" s="254"/>
      <c r="E2" s="254"/>
      <c r="F2" s="255"/>
      <c r="G2" s="161" t="s">
        <v>1</v>
      </c>
      <c r="H2" s="162"/>
      <c r="I2" s="162"/>
      <c r="J2" s="162"/>
      <c r="K2" s="162"/>
      <c r="L2" s="162"/>
      <c r="M2" s="162"/>
      <c r="N2" s="162"/>
    </row>
    <row r="3" spans="1:18" ht="15" x14ac:dyDescent="0.25">
      <c r="A3" s="165" t="str">
        <f>VLOOKUP(DATEN!I2,DATEN!$I$1:$J$39,IF($K$3="Deutsch", 1, 2),FALSE)</f>
        <v>Kunde Name:</v>
      </c>
      <c r="B3" s="167"/>
      <c r="C3" s="11"/>
      <c r="D3" s="212">
        <f>'Bestellung Commande'!C2</f>
        <v>0</v>
      </c>
      <c r="E3" s="212"/>
      <c r="F3" s="212"/>
      <c r="G3" s="256" t="s">
        <v>2</v>
      </c>
      <c r="H3" s="257"/>
      <c r="I3" s="257"/>
      <c r="J3" s="258"/>
      <c r="K3" s="259" t="s">
        <v>3</v>
      </c>
      <c r="L3" s="260"/>
      <c r="M3" s="260"/>
      <c r="N3" s="261"/>
    </row>
    <row r="4" spans="1:18" ht="15" x14ac:dyDescent="0.25">
      <c r="A4" s="10" t="str">
        <f>VLOOKUP(DATEN!I3,DATEN!$I$1:$J$39,IF($K$3="Deutsch", 1, 2),FALSE)</f>
        <v>Kontaktperson:</v>
      </c>
      <c r="B4" s="11"/>
      <c r="C4" s="11"/>
      <c r="D4" s="212">
        <f>'Bestellung Commande'!C3</f>
        <v>0</v>
      </c>
      <c r="E4" s="212"/>
      <c r="F4" s="212"/>
      <c r="G4" s="256" t="str">
        <f>VLOOKUP(DATEN!I9,DATEN!$I$1:$J$39,IF($K$3="Deutsch", 1, 2),FALSE)</f>
        <v>Bestelldatum:</v>
      </c>
      <c r="H4" s="257"/>
      <c r="I4" s="257"/>
      <c r="J4" s="258"/>
      <c r="K4" s="263">
        <f>'Bestellung Commande'!L3</f>
        <v>0</v>
      </c>
      <c r="L4" s="260"/>
      <c r="M4" s="260"/>
      <c r="N4" s="261"/>
    </row>
    <row r="5" spans="1:18" ht="15" x14ac:dyDescent="0.25">
      <c r="A5" s="165" t="str">
        <f>VLOOKUP(DATEN!I4,DATEN!$I$1:$J$39,IF($K$3="Deutsch", 1, 2),FALSE)</f>
        <v>Kommision:</v>
      </c>
      <c r="B5" s="167"/>
      <c r="C5" s="11"/>
      <c r="D5" s="212">
        <f>'Bestellung Commande'!C4</f>
        <v>0</v>
      </c>
      <c r="E5" s="212"/>
      <c r="F5" s="212"/>
      <c r="G5" s="256" t="str">
        <f>VLOOKUP(DATEN!I10,DATEN!$I$1:$J$39,IF($K$3="Deutsch", 1, 2),FALSE)</f>
        <v>Wunsch Liefertermin:</v>
      </c>
      <c r="H5" s="257"/>
      <c r="I5" s="257"/>
      <c r="J5" s="258"/>
      <c r="K5" s="263">
        <f>'Bestellung Commande'!L4</f>
        <v>0</v>
      </c>
      <c r="L5" s="260"/>
      <c r="M5" s="260"/>
      <c r="N5" s="261"/>
    </row>
    <row r="6" spans="1:18" ht="15" x14ac:dyDescent="0.25">
      <c r="A6" s="165" t="str">
        <f>VLOOKUP(DATEN!I5,DATEN!$I$1:$J$39,IF($K$3="Deutsch", 1, 2),FALSE)</f>
        <v>Kontakt Telefon:</v>
      </c>
      <c r="B6" s="167"/>
      <c r="C6" s="11"/>
      <c r="D6" s="212">
        <f>'Bestellung Commande'!C5</f>
        <v>0</v>
      </c>
      <c r="E6" s="212"/>
      <c r="F6" s="212"/>
      <c r="G6" s="163" t="str">
        <f>VLOOKUP(DATEN!I11,DATEN!$I$1:$J$39,IF($K$3="Deutsch", 1, 2),FALSE)</f>
        <v>Bemerkung:</v>
      </c>
      <c r="H6" s="164"/>
      <c r="I6" s="164"/>
      <c r="J6" s="164"/>
      <c r="K6" s="164"/>
      <c r="L6" s="164"/>
      <c r="M6" s="164"/>
      <c r="N6" s="164"/>
    </row>
    <row r="7" spans="1:18" ht="15" x14ac:dyDescent="0.25">
      <c r="A7" s="264" t="s">
        <v>4</v>
      </c>
      <c r="B7" s="264"/>
      <c r="C7" s="264"/>
      <c r="D7" s="264"/>
      <c r="E7" s="264"/>
      <c r="F7" s="264"/>
      <c r="G7" s="225" t="str">
        <f>VLOOKUP(DATEN!I11,DATEN!$I$1:$J$39,IF($K$3="Deutsch", 1, 2),FALSE)</f>
        <v>Bemerkung:</v>
      </c>
      <c r="H7" s="225"/>
      <c r="I7" s="225"/>
      <c r="J7" s="225"/>
      <c r="K7" s="225"/>
      <c r="L7" s="225"/>
      <c r="M7" s="225"/>
      <c r="N7" s="225"/>
    </row>
    <row r="8" spans="1:18" ht="15" x14ac:dyDescent="0.25">
      <c r="A8" s="165" t="str">
        <f>VLOOKUP(DATEN!I6,DATEN!$I$1:$J$39,IF($K$3="Deutsch", 1, 2),FALSE)</f>
        <v>Strasse:</v>
      </c>
      <c r="B8" s="167"/>
      <c r="C8" s="11"/>
      <c r="D8" s="212">
        <f>'Bestellung Commande'!C8</f>
        <v>0</v>
      </c>
      <c r="E8" s="212"/>
      <c r="F8" s="212"/>
      <c r="G8" s="225"/>
      <c r="H8" s="225"/>
      <c r="I8" s="225"/>
      <c r="J8" s="225"/>
      <c r="K8" s="225"/>
      <c r="L8" s="225"/>
      <c r="M8" s="225"/>
      <c r="N8" s="225"/>
    </row>
    <row r="9" spans="1:18" ht="15" x14ac:dyDescent="0.25">
      <c r="A9" s="165" t="str">
        <f>VLOOKUP(DATEN!I7,DATEN!$I$1:$J$39,IF($K$3="Deutsch", 1, 2),FALSE)</f>
        <v>PLZ Ort:</v>
      </c>
      <c r="B9" s="167"/>
      <c r="C9" s="11"/>
      <c r="D9" s="212">
        <f>'Bestellung Commande'!C9</f>
        <v>0</v>
      </c>
      <c r="E9" s="212"/>
      <c r="F9" s="212"/>
      <c r="G9" s="225"/>
      <c r="H9" s="225"/>
      <c r="I9" s="225"/>
      <c r="J9" s="225"/>
      <c r="K9" s="225"/>
      <c r="L9" s="225"/>
      <c r="M9" s="225"/>
      <c r="N9" s="225"/>
    </row>
    <row r="10" spans="1:18" ht="15" customHeight="1" x14ac:dyDescent="0.25">
      <c r="A10" s="165" t="str">
        <f>VLOOKUP(DATEN!I8,DATEN!$I$1:$J$39,IF($K$3="Deutsch", 1, 2),FALSE)</f>
        <v>Kontakt:</v>
      </c>
      <c r="B10" s="167"/>
      <c r="C10" s="11"/>
      <c r="D10" s="212">
        <f>'Bestellung Commande'!C10</f>
        <v>0</v>
      </c>
      <c r="E10" s="212"/>
      <c r="F10" s="212"/>
      <c r="G10" s="262" t="str">
        <f>IF(VLOOKUP($A$17,'Bestellung Commande'!$A$27:$O$65,10,FALSE)&lt;&gt;"","Sonderbau!!!","")</f>
        <v/>
      </c>
      <c r="H10" s="262"/>
      <c r="I10" s="262"/>
      <c r="J10" s="262"/>
      <c r="K10" s="262"/>
      <c r="L10" s="262"/>
      <c r="M10" s="262"/>
      <c r="N10" s="262"/>
    </row>
    <row r="11" spans="1:18" ht="15" customHeight="1" x14ac:dyDescent="0.25">
      <c r="A11" s="264" t="s">
        <v>5</v>
      </c>
      <c r="B11" s="264"/>
      <c r="C11" s="264"/>
      <c r="D11" s="264"/>
      <c r="E11" s="264"/>
      <c r="F11" s="264"/>
      <c r="G11" s="262"/>
      <c r="H11" s="262"/>
      <c r="I11" s="262"/>
      <c r="J11" s="262"/>
      <c r="K11" s="262"/>
      <c r="L11" s="262"/>
      <c r="M11" s="262"/>
      <c r="N11" s="262"/>
    </row>
    <row r="12" spans="1:18" ht="15" customHeight="1" x14ac:dyDescent="0.4">
      <c r="A12" s="165" t="str">
        <f>VLOOKUP(DATEN!I6,DATEN!$I$1:$J$39,IF($K$3="Deutsch", 1, 2),FALSE)</f>
        <v>Strasse:</v>
      </c>
      <c r="B12" s="167"/>
      <c r="C12" s="11"/>
      <c r="D12" s="212">
        <f>'Bestellung Commande'!C12</f>
        <v>0</v>
      </c>
      <c r="E12" s="212"/>
      <c r="F12" s="212"/>
      <c r="G12" s="146"/>
      <c r="H12" s="146"/>
      <c r="I12" s="146"/>
      <c r="J12" s="146"/>
      <c r="K12" s="146"/>
      <c r="L12" s="146"/>
      <c r="M12" s="146"/>
      <c r="N12" s="146"/>
    </row>
    <row r="13" spans="1:18" ht="15" customHeight="1" x14ac:dyDescent="0.4">
      <c r="A13" s="165" t="str">
        <f>VLOOKUP(DATEN!I7,DATEN!$I$1:$J$39,IF($K$3="Deutsch", 1, 2),FALSE)</f>
        <v>PLZ Ort:</v>
      </c>
      <c r="B13" s="167"/>
      <c r="C13" s="11"/>
      <c r="D13" s="212">
        <f>'Bestellung Commande'!C13</f>
        <v>0</v>
      </c>
      <c r="E13" s="212"/>
      <c r="F13" s="212"/>
      <c r="G13" s="146"/>
      <c r="H13" s="146"/>
      <c r="I13" s="146"/>
      <c r="J13" s="146"/>
      <c r="K13" s="146"/>
      <c r="L13" s="146"/>
      <c r="M13" s="146"/>
      <c r="N13" s="146"/>
    </row>
    <row r="14" spans="1:18" ht="15" customHeight="1" x14ac:dyDescent="0.4">
      <c r="A14" s="165" t="str">
        <f>VLOOKUP(DATEN!I8,DATEN!$I$1:$J$39,IF($K$3="Deutsch", 1, 2),FALSE)</f>
        <v>Kontakt:</v>
      </c>
      <c r="B14" s="167"/>
      <c r="C14" s="11"/>
      <c r="D14" s="212">
        <f>'Bestellung Commande'!C14</f>
        <v>0</v>
      </c>
      <c r="E14" s="212"/>
      <c r="F14" s="212"/>
      <c r="G14" s="146"/>
      <c r="H14" s="146"/>
      <c r="I14" s="146"/>
      <c r="J14" s="146"/>
      <c r="K14" s="146"/>
      <c r="L14" s="146"/>
      <c r="M14" s="146"/>
      <c r="N14" s="146"/>
    </row>
    <row r="15" spans="1:18" ht="15.75" thickBot="1" x14ac:dyDescent="0.3">
      <c r="A15" s="140" t="str">
        <f>'Bestellung Commande'!A67</f>
        <v>V9.5</v>
      </c>
      <c r="B15" s="14"/>
      <c r="C15" s="14"/>
      <c r="D15" s="15"/>
      <c r="E15" s="15"/>
      <c r="F15" s="15"/>
      <c r="G15" s="13"/>
      <c r="H15" s="13"/>
      <c r="I15" s="13"/>
      <c r="J15" s="13"/>
      <c r="K15" s="13"/>
      <c r="L15" s="13"/>
      <c r="M15" s="16">
        <f>'Bestellung Commande'!N24</f>
        <v>73</v>
      </c>
      <c r="N15" s="13"/>
      <c r="O15" s="20" t="s">
        <v>220</v>
      </c>
      <c r="P15" s="9"/>
      <c r="Q15" s="9"/>
      <c r="R15" s="9"/>
    </row>
    <row r="16" spans="1:18" s="19" customFormat="1" ht="28.5" customHeight="1" x14ac:dyDescent="0.2">
      <c r="A16" s="17" t="s">
        <v>216</v>
      </c>
      <c r="B16" s="176" t="str">
        <f>VLOOKUP(DATEN!I14,DATEN!$I$1:$J$39,IF($K$3="Deutsch", 1, 2),FALSE)</f>
        <v>Anz.
Flügel</v>
      </c>
      <c r="C16" s="176"/>
      <c r="D16" s="17" t="str">
        <f>VLOOKUP(DATEN!I15,DATEN!$I$1:$J$39,IF($K$3="Deutsch", 1, 2),FALSE)</f>
        <v>Stk Schw.</v>
      </c>
      <c r="E16" s="17" t="str">
        <f>VLOOKUP(DATEN!I16,DATEN!$I$1:$J$39,IF($K$3="Deutsch", 1, 2),FALSE)</f>
        <v>RA</v>
      </c>
      <c r="F16" s="17" t="str">
        <f>VLOOKUP(DATEN!I17,DATEN!$I$1:$J$39,IF($K$3="Deutsch", 1, 2),FALSE)</f>
        <v>RBL 
(min45)</v>
      </c>
      <c r="G16" s="17" t="str">
        <f>VLOOKUP(DATEN!I18,DATEN!$I$1:$J$39,IF($K$3="Deutsch", 1, 2),FALSE)</f>
        <v>RBR 
(min45)</v>
      </c>
      <c r="H16" s="17"/>
      <c r="I16" s="184" t="str">
        <f>VLOOKUP(DATEN!I19,DATEN!$I$1:$J$39,IF($K$3="Deutsch", 1, 2),FALSE)</f>
        <v>Verbreiterungen</v>
      </c>
      <c r="J16" s="185"/>
      <c r="K16" s="185"/>
      <c r="L16" s="185"/>
      <c r="M16" s="18" t="str">
        <f>VLOOKUP(DATEN!I20,DATEN!$I$1:$J$39,IF($K$3="Deutsch",1,2),FALSE)</f>
        <v>Total</v>
      </c>
      <c r="N16" s="17"/>
      <c r="O16" s="20" t="str">
        <f>E25</f>
        <v>Profil</v>
      </c>
      <c r="P16" s="20" t="str">
        <f>A26</f>
        <v>Links</v>
      </c>
      <c r="Q16" s="20" t="str">
        <f>A27</f>
        <v>Rechts</v>
      </c>
      <c r="R16" s="20" t="str">
        <f>A28</f>
        <v>Mittelteil</v>
      </c>
    </row>
    <row r="17" spans="1:24" ht="15" thickBot="1" x14ac:dyDescent="0.25">
      <c r="A17" s="41">
        <v>2</v>
      </c>
      <c r="B17" s="268">
        <f>VLOOKUP($A$17,'Bestellung Commande'!$A$27:$O$65,3,FALSE)</f>
        <v>0</v>
      </c>
      <c r="C17" s="268"/>
      <c r="D17" s="41">
        <f>VLOOKUP($A$17,'Bestellung Commande'!$A$27:$O$65,5,FALSE)</f>
        <v>0</v>
      </c>
      <c r="E17" s="41">
        <f>VLOOKUP($A$17,'Bestellung Commande'!$A$27:$O$65,6,FALSE)</f>
        <v>0</v>
      </c>
      <c r="F17" s="41">
        <f>VLOOKUP($A$17,'Bestellung Commande'!$A$27:$O$65,7,FALSE)</f>
        <v>0</v>
      </c>
      <c r="G17" s="41">
        <f>VLOOKUP($A$17,'Bestellung Commande'!$A$27:$O$65,8,FALSE)</f>
        <v>0</v>
      </c>
      <c r="H17" s="41">
        <f>VLOOKUP($A$17,'Bestellung Commande'!$A$27:$O$65,9,FALSE)</f>
        <v>0</v>
      </c>
      <c r="I17" s="22">
        <f>VLOOKUP($A$17,'Bestellung Commande'!$A$27:$O$65,10,FALSE)</f>
        <v>0</v>
      </c>
      <c r="J17" s="23">
        <f>VLOOKUP($A$17,'Bestellung Commande'!$A$27:$O$65,11,FALSE)</f>
        <v>0</v>
      </c>
      <c r="K17" s="23">
        <f>VLOOKUP($A$17,'Bestellung Commande'!$A$27:$O$65,12,FALSE)</f>
        <v>0</v>
      </c>
      <c r="L17" s="23">
        <f>VLOOKUP($A$17,'Bestellung Commande'!$A$27:$O$65,13,FALSE)</f>
        <v>0</v>
      </c>
      <c r="M17" s="125">
        <f>VLOOKUP($A$17,'Bestellung Commande'!$A$27:$O$65,14,FALSE)</f>
        <v>0</v>
      </c>
      <c r="N17" s="24"/>
      <c r="O17" s="9" t="str">
        <f>F25</f>
        <v>C298927</v>
      </c>
      <c r="P17" s="29">
        <f>F26</f>
        <v>20</v>
      </c>
      <c r="Q17" s="29">
        <f>F27</f>
        <v>20</v>
      </c>
      <c r="R17" s="29">
        <f>F28</f>
        <v>-42</v>
      </c>
    </row>
    <row r="18" spans="1:24" x14ac:dyDescent="0.2">
      <c r="B18" s="41" cm="1">
        <f t="array" ref="B18">INDEX('Bestellung Commande'!$C$27:$C$66, MATCH($A$17, 'Bestellung Commande'!$A$27:$A$66, 0) + 1)</f>
        <v>0</v>
      </c>
      <c r="C18" s="41" cm="1">
        <f t="array" ref="C18">INDEX('Bestellung Commande'!$D$27:$D$66, MATCH($A$17, 'Bestellung Commande'!$A$27:$A$66, 0) + 1)</f>
        <v>0</v>
      </c>
    </row>
    <row r="20" spans="1:24" ht="15" x14ac:dyDescent="0.25">
      <c r="A20" s="267" t="s">
        <v>10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</row>
    <row r="21" spans="1:24" ht="15" x14ac:dyDescent="0.25">
      <c r="E21" s="25" t="s">
        <v>11</v>
      </c>
      <c r="F21" s="9" t="s">
        <v>12</v>
      </c>
      <c r="G21"/>
      <c r="H21"/>
      <c r="I21"/>
    </row>
    <row r="22" spans="1:24" x14ac:dyDescent="0.2">
      <c r="E22" t="s">
        <v>13</v>
      </c>
      <c r="F22" s="26">
        <f>E17</f>
        <v>0</v>
      </c>
      <c r="G22"/>
      <c r="H22"/>
      <c r="I22"/>
    </row>
    <row r="23" spans="1:24" x14ac:dyDescent="0.2">
      <c r="F23" s="9">
        <f>B17</f>
        <v>0</v>
      </c>
      <c r="G23"/>
      <c r="H23"/>
      <c r="I23"/>
    </row>
    <row r="24" spans="1:24" ht="15" x14ac:dyDescent="0.25">
      <c r="A24" s="267" t="s">
        <v>14</v>
      </c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</row>
    <row r="25" spans="1:24" ht="15" x14ac:dyDescent="0.25">
      <c r="E25" s="25" t="s">
        <v>11</v>
      </c>
      <c r="F25" s="9" t="s">
        <v>15</v>
      </c>
      <c r="G25"/>
      <c r="H25"/>
      <c r="I25"/>
    </row>
    <row r="26" spans="1:24" x14ac:dyDescent="0.2">
      <c r="A26" t="s">
        <v>16</v>
      </c>
      <c r="E26" t="s">
        <v>13</v>
      </c>
      <c r="F26" s="26">
        <f>F17+20</f>
        <v>20</v>
      </c>
      <c r="G26"/>
      <c r="H26"/>
      <c r="I26"/>
      <c r="W26" s="121" t="s">
        <v>208</v>
      </c>
      <c r="X26" s="122">
        <f>F37-F36</f>
        <v>-100</v>
      </c>
    </row>
    <row r="27" spans="1:24" x14ac:dyDescent="0.2">
      <c r="A27" t="s">
        <v>17</v>
      </c>
      <c r="E27" t="s">
        <v>13</v>
      </c>
      <c r="F27" s="26">
        <f>G17+20</f>
        <v>20</v>
      </c>
      <c r="G27"/>
      <c r="H27"/>
      <c r="I27"/>
      <c r="W27" t="s">
        <v>209</v>
      </c>
      <c r="X27">
        <f>[1]DATEN!D14</f>
        <v>300</v>
      </c>
    </row>
    <row r="28" spans="1:24" x14ac:dyDescent="0.2">
      <c r="A28" t="s">
        <v>18</v>
      </c>
      <c r="E28" t="s">
        <v>13</v>
      </c>
      <c r="F28" s="26">
        <f>(E17-(F26+F27))-2</f>
        <v>-42</v>
      </c>
      <c r="G28"/>
      <c r="H28"/>
      <c r="I28"/>
      <c r="P28" t="s">
        <v>293</v>
      </c>
      <c r="T28" t="s">
        <v>294</v>
      </c>
      <c r="W28" t="s">
        <v>210</v>
      </c>
      <c r="X28">
        <f>ROUNDUP(X26/X27,0)</f>
        <v>-1</v>
      </c>
    </row>
    <row r="29" spans="1:24" ht="15" x14ac:dyDescent="0.25">
      <c r="A29" s="267" t="s">
        <v>19</v>
      </c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7" t="str">
        <f t="shared" ref="O29:O39" si="0">IF(AND($F$32&gt;=Q29,$F$32&lt;R29),P29,"")</f>
        <v/>
      </c>
      <c r="P29" s="28" t="str">
        <f>" "</f>
        <v xml:space="preserve"> </v>
      </c>
      <c r="Q29" s="28">
        <v>-1000000</v>
      </c>
      <c r="R29" s="28">
        <v>0</v>
      </c>
      <c r="S29" s="27" t="str">
        <f t="shared" ref="S29:S39" si="1">IF(AND($G$32&gt;=U29,$G$32&lt;V29),T29,"")</f>
        <v/>
      </c>
      <c r="T29" s="28" t="str">
        <f t="shared" ref="T29:T30" si="2">P29</f>
        <v xml:space="preserve"> </v>
      </c>
      <c r="U29" s="28">
        <f t="shared" ref="U29:U30" si="3">Q29</f>
        <v>-1000000</v>
      </c>
      <c r="V29" s="28">
        <f t="shared" ref="V29:V30" si="4">R29</f>
        <v>0</v>
      </c>
      <c r="W29" t="s">
        <v>211</v>
      </c>
      <c r="X29">
        <f>X26/X28</f>
        <v>100</v>
      </c>
    </row>
    <row r="30" spans="1:24" ht="15" x14ac:dyDescent="0.25">
      <c r="F30" s="25" t="s">
        <v>293</v>
      </c>
      <c r="G30" s="25" t="s">
        <v>294</v>
      </c>
      <c r="H30"/>
      <c r="I30"/>
      <c r="K30"/>
      <c r="N30"/>
      <c r="O30" s="27" t="str">
        <f t="shared" si="0"/>
        <v/>
      </c>
      <c r="P30" s="28"/>
      <c r="Q30" s="28">
        <v>0.1</v>
      </c>
      <c r="R30" s="28">
        <v>247.9</v>
      </c>
      <c r="S30" s="27" t="str">
        <f t="shared" si="1"/>
        <v/>
      </c>
      <c r="T30" s="28">
        <f t="shared" si="2"/>
        <v>0</v>
      </c>
      <c r="U30" s="28">
        <f t="shared" si="3"/>
        <v>0.1</v>
      </c>
      <c r="V30" s="28">
        <f t="shared" si="4"/>
        <v>247.9</v>
      </c>
    </row>
    <row r="31" spans="1:24" x14ac:dyDescent="0.2">
      <c r="F31" s="9" t="str">
        <f>O29&amp;O31&amp;O32&amp;O33&amp;O34&amp;O35&amp;O36&amp;O37&amp;O38&amp;O39</f>
        <v/>
      </c>
      <c r="G31" s="9" t="str">
        <f>S29&amp;S31&amp;S32&amp;S33&amp;S34&amp;S35&amp;S36&amp;S37&amp;S38&amp;S39</f>
        <v/>
      </c>
      <c r="I31"/>
      <c r="O31" s="27" t="str">
        <f t="shared" si="0"/>
        <v/>
      </c>
      <c r="P31" s="28" t="str">
        <f>DATEN!M7</f>
        <v>C555366</v>
      </c>
      <c r="Q31" s="28">
        <f>DATEN!N7</f>
        <v>275</v>
      </c>
      <c r="R31" s="28">
        <f>DATEN!O7</f>
        <v>400</v>
      </c>
      <c r="S31" s="27" t="str">
        <f t="shared" si="1"/>
        <v/>
      </c>
      <c r="T31" s="28" t="str">
        <f>P31</f>
        <v>C555366</v>
      </c>
      <c r="U31" s="28">
        <f t="shared" ref="U31:V39" si="5">Q31</f>
        <v>275</v>
      </c>
      <c r="V31" s="28">
        <f t="shared" si="5"/>
        <v>400</v>
      </c>
      <c r="W31">
        <v>1</v>
      </c>
      <c r="X31" s="29">
        <f>F36</f>
        <v>50</v>
      </c>
    </row>
    <row r="32" spans="1:24" x14ac:dyDescent="0.2">
      <c r="A32" t="s">
        <v>13</v>
      </c>
      <c r="F32" s="26" t="b">
        <f>IF(AND(B17=1,B18=0),H17,IF(AND(B17=1,B18&gt;0),B18,IF(AND(B17=2,B18=0),(H17-20)/2,IF(AND(B17=2,B18&gt;0),B18))))</f>
        <v>0</v>
      </c>
      <c r="G32" s="26">
        <f>IF(B17=1,0,IF(AND(B17=2,C18=0),0,C18))</f>
        <v>0</v>
      </c>
      <c r="I32"/>
      <c r="O32" s="27" t="str">
        <f t="shared" si="0"/>
        <v/>
      </c>
      <c r="P32" s="28" t="str">
        <f>DATEN!M8</f>
        <v>C555367</v>
      </c>
      <c r="Q32" s="28">
        <f>DATEN!N8</f>
        <v>400</v>
      </c>
      <c r="R32" s="28">
        <f>DATEN!O8</f>
        <v>550</v>
      </c>
      <c r="S32" s="27" t="str">
        <f t="shared" si="1"/>
        <v/>
      </c>
      <c r="T32" s="28" t="str">
        <f t="shared" ref="T32:T39" si="6">P32</f>
        <v>C555367</v>
      </c>
      <c r="U32" s="28">
        <f t="shared" si="5"/>
        <v>400</v>
      </c>
      <c r="V32" s="28">
        <f t="shared" si="5"/>
        <v>550</v>
      </c>
      <c r="W32">
        <v>2</v>
      </c>
      <c r="X32" s="29">
        <f>ROUND(IF(W32-1&gt;$X$28,0,X31+$X$29),0)</f>
        <v>0</v>
      </c>
    </row>
    <row r="33" spans="1:24" x14ac:dyDescent="0.2">
      <c r="A33" t="s">
        <v>23</v>
      </c>
      <c r="F33" s="30">
        <f>IF(AND(B17=2,B18=0),B17,1)*D17</f>
        <v>0</v>
      </c>
      <c r="G33" s="30">
        <f>IF(G32&gt;0,1,0)*D17</f>
        <v>0</v>
      </c>
      <c r="I33"/>
      <c r="O33" s="27" t="str">
        <f t="shared" si="0"/>
        <v/>
      </c>
      <c r="P33" s="28" t="str">
        <f>DATEN!M9</f>
        <v>C555368</v>
      </c>
      <c r="Q33" s="28">
        <f>DATEN!N9</f>
        <v>550</v>
      </c>
      <c r="R33" s="28">
        <f>DATEN!O9</f>
        <v>700</v>
      </c>
      <c r="S33" s="27" t="str">
        <f t="shared" si="1"/>
        <v/>
      </c>
      <c r="T33" s="28" t="str">
        <f t="shared" si="6"/>
        <v>C555368</v>
      </c>
      <c r="U33" s="28">
        <f t="shared" si="5"/>
        <v>550</v>
      </c>
      <c r="V33" s="28">
        <f t="shared" si="5"/>
        <v>700</v>
      </c>
      <c r="W33">
        <v>3</v>
      </c>
      <c r="X33" s="29">
        <f t="shared" ref="X33:X40" si="7">ROUND(IF(W33-1&gt;$X$28,0,X32+$X$29),0)</f>
        <v>0</v>
      </c>
    </row>
    <row r="34" spans="1:24" ht="15" x14ac:dyDescent="0.25">
      <c r="A34" s="267" t="s">
        <v>25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7" t="str">
        <f>IF(AND($F$32&gt;=Q34,$F$32&lt;R34),P34,"")</f>
        <v/>
      </c>
      <c r="P34" s="28" t="str">
        <f>DATEN!M10</f>
        <v>C555369</v>
      </c>
      <c r="Q34" s="28">
        <f>DATEN!N10</f>
        <v>700</v>
      </c>
      <c r="R34" s="28">
        <f>DATEN!O10</f>
        <v>850</v>
      </c>
      <c r="S34" s="27" t="str">
        <f t="shared" si="1"/>
        <v/>
      </c>
      <c r="T34" s="28" t="str">
        <f t="shared" si="6"/>
        <v>C555369</v>
      </c>
      <c r="U34" s="28">
        <f t="shared" si="5"/>
        <v>700</v>
      </c>
      <c r="V34" s="28">
        <f t="shared" si="5"/>
        <v>850</v>
      </c>
      <c r="W34">
        <v>4</v>
      </c>
      <c r="X34" s="29">
        <f t="shared" si="7"/>
        <v>0</v>
      </c>
    </row>
    <row r="35" spans="1:24" ht="15" x14ac:dyDescent="0.25">
      <c r="A35" s="31" t="s">
        <v>27</v>
      </c>
      <c r="F35" s="9" t="s">
        <v>28</v>
      </c>
      <c r="G35" s="32" t="s">
        <v>29</v>
      </c>
      <c r="H35" s="32"/>
      <c r="I35"/>
      <c r="O35" s="27" t="str">
        <f t="shared" si="0"/>
        <v/>
      </c>
      <c r="P35" s="28" t="str">
        <f>DATEN!M11</f>
        <v>C555370</v>
      </c>
      <c r="Q35" s="28">
        <f>DATEN!N11</f>
        <v>850</v>
      </c>
      <c r="R35" s="28">
        <f>DATEN!O11</f>
        <v>1000</v>
      </c>
      <c r="S35" s="27" t="str">
        <f>IF(AND($G$32&gt;=U35,$G$32&lt;V35),T35,"")</f>
        <v/>
      </c>
      <c r="T35" s="28" t="str">
        <f t="shared" si="6"/>
        <v>C555370</v>
      </c>
      <c r="U35" s="28">
        <f t="shared" si="5"/>
        <v>850</v>
      </c>
      <c r="V35" s="28">
        <f t="shared" si="5"/>
        <v>1000</v>
      </c>
      <c r="W35">
        <v>5</v>
      </c>
      <c r="X35" s="29">
        <f t="shared" si="7"/>
        <v>0</v>
      </c>
    </row>
    <row r="36" spans="1:24" x14ac:dyDescent="0.2">
      <c r="A36" t="s">
        <v>31</v>
      </c>
      <c r="F36" s="26">
        <f>F17+50</f>
        <v>50</v>
      </c>
      <c r="G36"/>
      <c r="H36" t="s">
        <v>206</v>
      </c>
      <c r="I36"/>
      <c r="O36" s="27" t="str">
        <f t="shared" si="0"/>
        <v/>
      </c>
      <c r="P36" s="28" t="str">
        <f>DATEN!M12</f>
        <v>C555371</v>
      </c>
      <c r="Q36" s="28">
        <f>DATEN!N12</f>
        <v>1000</v>
      </c>
      <c r="R36" s="28">
        <f>DATEN!O12</f>
        <v>1150</v>
      </c>
      <c r="S36" s="27" t="str">
        <f t="shared" si="1"/>
        <v/>
      </c>
      <c r="T36" s="28" t="str">
        <f t="shared" si="6"/>
        <v>C555371</v>
      </c>
      <c r="U36" s="28">
        <f t="shared" si="5"/>
        <v>1000</v>
      </c>
      <c r="V36" s="28">
        <f t="shared" si="5"/>
        <v>1150</v>
      </c>
      <c r="W36">
        <v>6</v>
      </c>
      <c r="X36" s="29">
        <f t="shared" si="7"/>
        <v>0</v>
      </c>
    </row>
    <row r="37" spans="1:24" x14ac:dyDescent="0.2">
      <c r="A37" t="s">
        <v>33</v>
      </c>
      <c r="F37" s="26">
        <f>F17+H17-DATEN!$D$13</f>
        <v>-50</v>
      </c>
      <c r="H37" t="s">
        <v>36</v>
      </c>
      <c r="I37"/>
      <c r="J37" s="9">
        <f>X28+1</f>
        <v>0</v>
      </c>
      <c r="O37" s="27" t="str">
        <f t="shared" si="0"/>
        <v/>
      </c>
      <c r="P37" s="28" t="str">
        <f>DATEN!M13</f>
        <v>C555372</v>
      </c>
      <c r="Q37" s="28">
        <f>DATEN!N13</f>
        <v>1150</v>
      </c>
      <c r="R37" s="28">
        <f>DATEN!O13</f>
        <v>1300</v>
      </c>
      <c r="S37" s="27" t="str">
        <f t="shared" si="1"/>
        <v/>
      </c>
      <c r="T37" s="28" t="str">
        <f t="shared" si="6"/>
        <v>C555372</v>
      </c>
      <c r="U37" s="28">
        <f t="shared" si="5"/>
        <v>1150</v>
      </c>
      <c r="V37" s="28">
        <f t="shared" si="5"/>
        <v>1300</v>
      </c>
      <c r="W37">
        <v>7</v>
      </c>
      <c r="X37" s="29">
        <f t="shared" si="7"/>
        <v>0</v>
      </c>
    </row>
    <row r="38" spans="1:24" x14ac:dyDescent="0.2">
      <c r="A38" s="33" t="s">
        <v>35</v>
      </c>
      <c r="F38" s="123" t="str">
        <f>X31&amp;IF(X32="",""," / ")&amp;X32  &amp; IF(X33="",""," / ")&amp;X33&amp; IF(X34="",""," / ")&amp;X34&amp; IF(X35="",""," / ")&amp;X35&amp; IF(X36="",""," / ")&amp;X36&amp; IF(X37="",""," / ")&amp;X37&amp; IF(X38="",""," / ")&amp;X38&amp; IF(X39="",""," / ")&amp;X39&amp; IF(X40="",""," / ")&amp;X40</f>
        <v>50 / 0 / 0 / 0 / 0 / 0 / 0 / 0 / 0 / 0</v>
      </c>
      <c r="O38" s="27" t="str">
        <f t="shared" si="0"/>
        <v/>
      </c>
      <c r="P38" s="28" t="str">
        <f>DATEN!M14</f>
        <v>C555373</v>
      </c>
      <c r="Q38" s="28">
        <f>DATEN!N14</f>
        <v>1300</v>
      </c>
      <c r="R38" s="28">
        <f>DATEN!O14</f>
        <v>1450</v>
      </c>
      <c r="S38" s="27" t="str">
        <f t="shared" si="1"/>
        <v/>
      </c>
      <c r="T38" s="28" t="str">
        <f t="shared" si="6"/>
        <v>C555373</v>
      </c>
      <c r="U38" s="28">
        <f t="shared" si="5"/>
        <v>1300</v>
      </c>
      <c r="V38" s="28">
        <f t="shared" si="5"/>
        <v>1450</v>
      </c>
      <c r="W38">
        <v>8</v>
      </c>
      <c r="X38" s="29">
        <f t="shared" si="7"/>
        <v>0</v>
      </c>
    </row>
    <row r="39" spans="1:24" x14ac:dyDescent="0.2">
      <c r="F39" s="9"/>
      <c r="G39"/>
      <c r="H39"/>
      <c r="I39"/>
      <c r="O39" s="27" t="str">
        <f t="shared" si="0"/>
        <v/>
      </c>
      <c r="P39" s="28" t="str">
        <f>DATEN!M15</f>
        <v>Zu Lang</v>
      </c>
      <c r="Q39" s="28">
        <f>DATEN!N15</f>
        <v>1450.1</v>
      </c>
      <c r="R39" s="28">
        <f>DATEN!O15</f>
        <v>1000000</v>
      </c>
      <c r="S39" s="27" t="str">
        <f t="shared" si="1"/>
        <v/>
      </c>
      <c r="T39" s="28" t="str">
        <f t="shared" si="6"/>
        <v>Zu Lang</v>
      </c>
      <c r="U39" s="28">
        <f t="shared" si="5"/>
        <v>1450.1</v>
      </c>
      <c r="V39" s="28">
        <f t="shared" si="5"/>
        <v>1000000</v>
      </c>
      <c r="W39">
        <v>9</v>
      </c>
      <c r="X39" s="29">
        <f t="shared" si="7"/>
        <v>0</v>
      </c>
    </row>
    <row r="40" spans="1:24" ht="15" x14ac:dyDescent="0.25">
      <c r="A40" s="267" t="s">
        <v>39</v>
      </c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W40">
        <v>10</v>
      </c>
      <c r="X40" s="29">
        <f t="shared" si="7"/>
        <v>0</v>
      </c>
    </row>
    <row r="41" spans="1:24" x14ac:dyDescent="0.2">
      <c r="A41" t="s">
        <v>41</v>
      </c>
      <c r="F41" s="26">
        <f>G17-15</f>
        <v>-15</v>
      </c>
      <c r="G41"/>
      <c r="H41"/>
      <c r="I41"/>
    </row>
    <row r="42" spans="1:24" x14ac:dyDescent="0.2">
      <c r="A42" t="s">
        <v>42</v>
      </c>
      <c r="F42" s="26">
        <f>E17-G17+15</f>
        <v>15</v>
      </c>
      <c r="G42"/>
      <c r="H42"/>
      <c r="I42"/>
    </row>
    <row r="43" spans="1:24" x14ac:dyDescent="0.2">
      <c r="A43" t="s">
        <v>43</v>
      </c>
      <c r="F43" s="26">
        <f>G17-35</f>
        <v>-35</v>
      </c>
      <c r="G43"/>
      <c r="H43"/>
      <c r="I43"/>
    </row>
    <row r="44" spans="1:24" x14ac:dyDescent="0.2">
      <c r="A44" t="s">
        <v>44</v>
      </c>
      <c r="F44" s="26">
        <f>E17-G17+35</f>
        <v>35</v>
      </c>
      <c r="G44"/>
      <c r="H44"/>
      <c r="I44"/>
    </row>
    <row r="45" spans="1:24" x14ac:dyDescent="0.2">
      <c r="A45" t="s">
        <v>45</v>
      </c>
      <c r="F45" s="26">
        <f>F17-23</f>
        <v>-23</v>
      </c>
      <c r="G45"/>
      <c r="H45"/>
      <c r="I45"/>
    </row>
    <row r="46" spans="1:24" x14ac:dyDescent="0.2">
      <c r="A46" t="s">
        <v>46</v>
      </c>
      <c r="F46" s="26">
        <f>E17-G17+23</f>
        <v>23</v>
      </c>
      <c r="G46"/>
      <c r="H46"/>
      <c r="I46"/>
    </row>
    <row r="47" spans="1:24" x14ac:dyDescent="0.2">
      <c r="F47" s="9"/>
      <c r="G47"/>
      <c r="H47"/>
      <c r="I47"/>
      <c r="P47" s="9"/>
    </row>
    <row r="48" spans="1:24" ht="15" x14ac:dyDescent="0.25">
      <c r="A48" s="34" t="s">
        <v>47</v>
      </c>
      <c r="B48" s="35"/>
      <c r="C48" s="35"/>
      <c r="D48" s="35"/>
      <c r="E48" s="35"/>
      <c r="F48" s="35" t="s">
        <v>48</v>
      </c>
      <c r="G48" s="35"/>
      <c r="H48" s="35"/>
      <c r="I48" s="35"/>
      <c r="J48" s="35"/>
      <c r="K48" s="35"/>
      <c r="L48" s="35"/>
    </row>
    <row r="49" spans="1:14" x14ac:dyDescent="0.2">
      <c r="A49" t="s">
        <v>49</v>
      </c>
      <c r="F49" s="26">
        <v>25</v>
      </c>
      <c r="G49"/>
      <c r="H49"/>
      <c r="I49"/>
    </row>
    <row r="50" spans="1:14" x14ac:dyDescent="0.2">
      <c r="A50" t="s">
        <v>33</v>
      </c>
      <c r="F50" s="26">
        <f>F28-25</f>
        <v>-67</v>
      </c>
      <c r="G50"/>
      <c r="H50"/>
      <c r="I50"/>
    </row>
    <row r="51" spans="1:14" x14ac:dyDescent="0.2">
      <c r="A51" s="33" t="s">
        <v>35</v>
      </c>
      <c r="F51" s="36" t="s">
        <v>50</v>
      </c>
      <c r="G51"/>
      <c r="H51"/>
      <c r="I51" t="s">
        <v>36</v>
      </c>
    </row>
    <row r="52" spans="1:14" x14ac:dyDescent="0.2">
      <c r="F52" s="129" t="str">
        <f>IF(B17=2,"Achtung!! 2 Flüglig!! Mittleres Loch auslassen","")</f>
        <v/>
      </c>
      <c r="G52"/>
      <c r="H52"/>
      <c r="I52"/>
    </row>
    <row r="53" spans="1:14" ht="15" x14ac:dyDescent="0.25">
      <c r="A53" s="267" t="s">
        <v>51</v>
      </c>
      <c r="B53" s="267"/>
      <c r="C53" s="267"/>
      <c r="D53" s="267"/>
      <c r="E53" s="267"/>
      <c r="F53" s="267"/>
      <c r="G53" s="267"/>
      <c r="H53" s="267"/>
      <c r="I53" s="267"/>
      <c r="J53" s="267"/>
      <c r="K53" s="267"/>
      <c r="L53" s="267"/>
    </row>
    <row r="54" spans="1:14" x14ac:dyDescent="0.2">
      <c r="A54" s="35" t="s">
        <v>52</v>
      </c>
      <c r="B54" s="37" t="s">
        <v>53</v>
      </c>
      <c r="C54" s="37"/>
      <c r="D54" s="206" t="s">
        <v>54</v>
      </c>
      <c r="E54" s="206"/>
      <c r="F54" s="35" t="s">
        <v>55</v>
      </c>
      <c r="G54" s="35"/>
      <c r="H54" s="35"/>
      <c r="I54" s="35"/>
      <c r="J54" s="35"/>
      <c r="K54" s="266" t="s">
        <v>13</v>
      </c>
      <c r="L54" s="266"/>
    </row>
    <row r="55" spans="1:14" x14ac:dyDescent="0.2">
      <c r="A55" s="12">
        <v>1</v>
      </c>
      <c r="B55" s="9">
        <f>VLOOKUP(A17,'Bestellung Commande'!A27:O65,11,FALSE)</f>
        <v>0</v>
      </c>
      <c r="C55" s="9"/>
      <c r="D55" s="252">
        <f>IF(ISERROR(VLOOKUP($B55,DATEN!$A$3:$D$10,2,FALSE)),"",VLOOKUP($B55,DATEN!$A$3:$D$10,2,FALSE))</f>
        <v>0</v>
      </c>
      <c r="E55" s="252"/>
      <c r="F55" s="12">
        <f>IF(ISERROR(VLOOKUP($B55,DATEN!$A$3:$D$10,3,FALSE)),"",VLOOKUP($B55,DATEN!$A$3:$D$10,3,FALSE))</f>
        <v>0</v>
      </c>
      <c r="G55"/>
      <c r="H55"/>
      <c r="K55" s="265">
        <f>$F$22</f>
        <v>0</v>
      </c>
      <c r="L55" s="265"/>
    </row>
    <row r="56" spans="1:14" x14ac:dyDescent="0.2">
      <c r="A56" s="12">
        <v>2</v>
      </c>
      <c r="B56" s="9">
        <f>VLOOKUP(A17,'Bestellung Commande'!A27:O65,12,FALSE)</f>
        <v>0</v>
      </c>
      <c r="C56" s="9"/>
      <c r="D56" s="252">
        <f>IF(ISERROR(VLOOKUP($B56,DATEN!$A$3:$D$10,2,FALSE)),"",VLOOKUP($B56,DATEN!$A$3:$D$10,2,FALSE))</f>
        <v>0</v>
      </c>
      <c r="E56" s="252"/>
      <c r="F56" s="9">
        <f>IF(ISERROR(VLOOKUP($B56,DATEN!$A$3:$D$10,3,FALSE)),"",VLOOKUP($B56,DATEN!$A$3:$D$10,3,FALSE))</f>
        <v>0</v>
      </c>
      <c r="G56"/>
      <c r="H56"/>
      <c r="K56" s="265">
        <f t="shared" ref="K56:K58" si="8">$F$22</f>
        <v>0</v>
      </c>
      <c r="L56" s="265"/>
    </row>
    <row r="57" spans="1:14" x14ac:dyDescent="0.2">
      <c r="A57" s="12">
        <v>3</v>
      </c>
      <c r="B57" s="9">
        <f>VLOOKUP(A17,'Bestellung Commande'!A27:O65,13,FALSE)</f>
        <v>0</v>
      </c>
      <c r="C57" s="9"/>
      <c r="D57" s="252">
        <f>IF(ISERROR(VLOOKUP($B57,DATEN!$A$3:$D$10,2,FALSE)),"",VLOOKUP($B57,DATEN!$A$3:$D$10,2,FALSE))</f>
        <v>0</v>
      </c>
      <c r="E57" s="252"/>
      <c r="F57" s="9">
        <f>IF(ISERROR(VLOOKUP($B57,DATEN!$A$3:$D$10,3,FALSE)),"",VLOOKUP($B57,DATEN!$A$3:$D$10,3,FALSE))</f>
        <v>0</v>
      </c>
      <c r="K57" s="265">
        <f t="shared" si="8"/>
        <v>0</v>
      </c>
      <c r="L57" s="265"/>
    </row>
    <row r="58" spans="1:14" x14ac:dyDescent="0.2">
      <c r="A58" s="12">
        <v>4</v>
      </c>
      <c r="B58" s="9">
        <f>VLOOKUP(A17,'Bestellung Commande'!A27:O65,14,FALSE)</f>
        <v>0</v>
      </c>
      <c r="C58" s="9"/>
      <c r="D58" s="252">
        <f>IF(ISERROR(VLOOKUP($B58,DATEN!$A$3:$D$10,2,FALSE)),"",VLOOKUP($B58,DATEN!$A$3:$D$10,2,FALSE))</f>
        <v>0</v>
      </c>
      <c r="E58" s="252"/>
      <c r="F58" s="9">
        <f>IF(ISERROR(VLOOKUP($B58,DATEN!$A$3:$D$10,3,FALSE)),"",VLOOKUP($B58,DATEN!$A$3:$D$10,3,FALSE))</f>
        <v>0</v>
      </c>
      <c r="K58" s="265">
        <f t="shared" si="8"/>
        <v>0</v>
      </c>
      <c r="L58" s="265"/>
      <c r="N58" s="46">
        <f>'Bestellung Commande'!B44</f>
        <v>0</v>
      </c>
    </row>
  </sheetData>
  <sheetProtection algorithmName="SHA-512" hashValue="zCdHdvE94mwRMiAfscVILvoQ90B4iwIiGtZXHIB9/l5wLt4LR684saDouBstI0Wr/ZfWob5wEwqDEfjW+Z3UwA==" saltValue="i2CNV2wlfnzHQcu2PgalJQ==" spinCount="100000" sheet="1" objects="1" scenarios="1"/>
  <mergeCells count="52">
    <mergeCell ref="D57:E57"/>
    <mergeCell ref="K57:L57"/>
    <mergeCell ref="D58:E58"/>
    <mergeCell ref="K58:L58"/>
    <mergeCell ref="A53:L53"/>
    <mergeCell ref="D54:E54"/>
    <mergeCell ref="K54:L54"/>
    <mergeCell ref="D55:E55"/>
    <mergeCell ref="K55:L55"/>
    <mergeCell ref="D56:E56"/>
    <mergeCell ref="K56:L56"/>
    <mergeCell ref="A40:L40"/>
    <mergeCell ref="A13:B13"/>
    <mergeCell ref="D13:F13"/>
    <mergeCell ref="A14:B14"/>
    <mergeCell ref="D14:F14"/>
    <mergeCell ref="B16:C16"/>
    <mergeCell ref="I16:L16"/>
    <mergeCell ref="B17:C17"/>
    <mergeCell ref="A20:N20"/>
    <mergeCell ref="A24:N24"/>
    <mergeCell ref="A29:N29"/>
    <mergeCell ref="A34:N34"/>
    <mergeCell ref="A10:B10"/>
    <mergeCell ref="D10:F10"/>
    <mergeCell ref="G10:N11"/>
    <mergeCell ref="A11:F11"/>
    <mergeCell ref="A12:B12"/>
    <mergeCell ref="D12:F12"/>
    <mergeCell ref="A6:B6"/>
    <mergeCell ref="D6:F6"/>
    <mergeCell ref="G6:N6"/>
    <mergeCell ref="A7:F7"/>
    <mergeCell ref="G7:N9"/>
    <mergeCell ref="A8:B8"/>
    <mergeCell ref="D8:F8"/>
    <mergeCell ref="A9:B9"/>
    <mergeCell ref="D9:F9"/>
    <mergeCell ref="D4:F4"/>
    <mergeCell ref="G4:J4"/>
    <mergeCell ref="K4:N4"/>
    <mergeCell ref="A5:B5"/>
    <mergeCell ref="D5:F5"/>
    <mergeCell ref="G5:J5"/>
    <mergeCell ref="K5:N5"/>
    <mergeCell ref="A1:N1"/>
    <mergeCell ref="A2:F2"/>
    <mergeCell ref="G2:N2"/>
    <mergeCell ref="A3:B3"/>
    <mergeCell ref="D3:F3"/>
    <mergeCell ref="G3:J3"/>
    <mergeCell ref="K3:N3"/>
  </mergeCells>
  <printOptions horizontalCentered="1"/>
  <pageMargins left="0.27" right="0.31" top="0.74803149606299213" bottom="0.74803149606299213" header="0.31496062992125984" footer="0.31496062992125984"/>
  <pageSetup paperSize="9" scale="87" orientation="portrait" r:id="rId1"/>
  <headerFooter>
    <oddHeader>&amp;R&amp;G</oddHeader>
    <oddFooter>&amp;LDuckdatum: &amp;D
&amp;F&amp;R&amp;P/&amp;N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9AB07D9B-6471-4A65-8108-B138C9B3E9C7}">
          <x14:formula1>
            <xm:f>DATEN!$I$1:$J$1</xm:f>
          </x14:formula1>
          <xm:sqref>K3:N3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9E4EE-54E8-4C00-BAF9-DF4F00C4D354}">
  <sheetPr codeName="Tabelle4"/>
  <dimension ref="A1:X58"/>
  <sheetViews>
    <sheetView view="pageBreakPreview" topLeftCell="A25" zoomScaleNormal="120" zoomScaleSheetLayoutView="100" workbookViewId="0">
      <selection activeCell="A12" sqref="A12:B12"/>
    </sheetView>
  </sheetViews>
  <sheetFormatPr baseColWidth="10" defaultColWidth="11" defaultRowHeight="14.25" x14ac:dyDescent="0.2"/>
  <cols>
    <col min="1" max="3" width="8.875" customWidth="1"/>
    <col min="4" max="5" width="6.5" customWidth="1"/>
    <col min="6" max="6" width="10.625" customWidth="1"/>
    <col min="7" max="7" width="8.75" style="9" customWidth="1"/>
    <col min="8" max="8" width="8.875" style="9" customWidth="1"/>
    <col min="9" max="9" width="4.875" style="9" customWidth="1"/>
    <col min="10" max="10" width="8.75" customWidth="1"/>
    <col min="11" max="11" width="4.5" style="9" customWidth="1"/>
    <col min="12" max="13" width="4.5" customWidth="1"/>
    <col min="14" max="14" width="4.5" style="9" customWidth="1"/>
  </cols>
  <sheetData>
    <row r="1" spans="1:18" ht="23.25" x14ac:dyDescent="0.2">
      <c r="A1" s="238" t="s">
        <v>9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1:18" ht="15" x14ac:dyDescent="0.25">
      <c r="A2" s="253" t="s">
        <v>0</v>
      </c>
      <c r="B2" s="254"/>
      <c r="C2" s="254"/>
      <c r="D2" s="254"/>
      <c r="E2" s="254"/>
      <c r="F2" s="255"/>
      <c r="G2" s="161" t="s">
        <v>1</v>
      </c>
      <c r="H2" s="162"/>
      <c r="I2" s="162"/>
      <c r="J2" s="162"/>
      <c r="K2" s="162"/>
      <c r="L2" s="162"/>
      <c r="M2" s="162"/>
      <c r="N2" s="162"/>
    </row>
    <row r="3" spans="1:18" ht="15" x14ac:dyDescent="0.25">
      <c r="A3" s="165" t="str">
        <f>VLOOKUP(DATEN!I2,DATEN!$I$1:$J$39,IF($K$3="Deutsch", 1, 2),FALSE)</f>
        <v>Kunde Name:</v>
      </c>
      <c r="B3" s="167"/>
      <c r="C3" s="11"/>
      <c r="D3" s="212">
        <f>'Bestellung Commande'!C2</f>
        <v>0</v>
      </c>
      <c r="E3" s="212"/>
      <c r="F3" s="212"/>
      <c r="G3" s="256" t="s">
        <v>2</v>
      </c>
      <c r="H3" s="257"/>
      <c r="I3" s="257"/>
      <c r="J3" s="258"/>
      <c r="K3" s="259" t="s">
        <v>3</v>
      </c>
      <c r="L3" s="260"/>
      <c r="M3" s="260"/>
      <c r="N3" s="261"/>
    </row>
    <row r="4" spans="1:18" ht="15" x14ac:dyDescent="0.25">
      <c r="A4" s="10" t="str">
        <f>VLOOKUP(DATEN!I3,DATEN!$I$1:$J$39,IF($K$3="Deutsch", 1, 2),FALSE)</f>
        <v>Kontaktperson:</v>
      </c>
      <c r="B4" s="11"/>
      <c r="C4" s="11"/>
      <c r="D4" s="212">
        <f>'Bestellung Commande'!C3</f>
        <v>0</v>
      </c>
      <c r="E4" s="212"/>
      <c r="F4" s="212"/>
      <c r="G4" s="256" t="str">
        <f>VLOOKUP(DATEN!I9,DATEN!$I$1:$J$39,IF($K$3="Deutsch", 1, 2),FALSE)</f>
        <v>Bestelldatum:</v>
      </c>
      <c r="H4" s="257"/>
      <c r="I4" s="257"/>
      <c r="J4" s="258"/>
      <c r="K4" s="263">
        <f>'Bestellung Commande'!L3</f>
        <v>0</v>
      </c>
      <c r="L4" s="260"/>
      <c r="M4" s="260"/>
      <c r="N4" s="261"/>
    </row>
    <row r="5" spans="1:18" ht="15" x14ac:dyDescent="0.25">
      <c r="A5" s="165" t="str">
        <f>VLOOKUP(DATEN!I4,DATEN!$I$1:$J$39,IF($K$3="Deutsch", 1, 2),FALSE)</f>
        <v>Kommision:</v>
      </c>
      <c r="B5" s="167"/>
      <c r="C5" s="11"/>
      <c r="D5" s="212">
        <f>'Bestellung Commande'!C4</f>
        <v>0</v>
      </c>
      <c r="E5" s="212"/>
      <c r="F5" s="212"/>
      <c r="G5" s="256" t="str">
        <f>VLOOKUP(DATEN!I10,DATEN!$I$1:$J$39,IF($K$3="Deutsch", 1, 2),FALSE)</f>
        <v>Wunsch Liefertermin:</v>
      </c>
      <c r="H5" s="257"/>
      <c r="I5" s="257"/>
      <c r="J5" s="258"/>
      <c r="K5" s="263">
        <f>'Bestellung Commande'!L4</f>
        <v>0</v>
      </c>
      <c r="L5" s="260"/>
      <c r="M5" s="260"/>
      <c r="N5" s="261"/>
    </row>
    <row r="6" spans="1:18" ht="15" x14ac:dyDescent="0.25">
      <c r="A6" s="165" t="str">
        <f>VLOOKUP(DATEN!I5,DATEN!$I$1:$J$39,IF($K$3="Deutsch", 1, 2),FALSE)</f>
        <v>Kontakt Telefon:</v>
      </c>
      <c r="B6" s="167"/>
      <c r="C6" s="11"/>
      <c r="D6" s="212">
        <f>'Bestellung Commande'!C5</f>
        <v>0</v>
      </c>
      <c r="E6" s="212"/>
      <c r="F6" s="212"/>
      <c r="G6" s="163" t="str">
        <f>VLOOKUP(DATEN!I11,DATEN!$I$1:$J$39,IF($K$3="Deutsch", 1, 2),FALSE)</f>
        <v>Bemerkung:</v>
      </c>
      <c r="H6" s="164"/>
      <c r="I6" s="164"/>
      <c r="J6" s="164"/>
      <c r="K6" s="164"/>
      <c r="L6" s="164"/>
      <c r="M6" s="164"/>
      <c r="N6" s="164"/>
    </row>
    <row r="7" spans="1:18" ht="15" x14ac:dyDescent="0.25">
      <c r="A7" s="264" t="s">
        <v>4</v>
      </c>
      <c r="B7" s="264"/>
      <c r="C7" s="264"/>
      <c r="D7" s="264"/>
      <c r="E7" s="264"/>
      <c r="F7" s="264"/>
      <c r="G7" s="225" t="str">
        <f>VLOOKUP(DATEN!I11,DATEN!$I$1:$J$39,IF($K$3="Deutsch", 1, 2),FALSE)</f>
        <v>Bemerkung:</v>
      </c>
      <c r="H7" s="225"/>
      <c r="I7" s="225"/>
      <c r="J7" s="225"/>
      <c r="K7" s="225"/>
      <c r="L7" s="225"/>
      <c r="M7" s="225"/>
      <c r="N7" s="225"/>
    </row>
    <row r="8" spans="1:18" ht="15" x14ac:dyDescent="0.25">
      <c r="A8" s="165" t="str">
        <f>VLOOKUP(DATEN!I6,DATEN!$I$1:$J$39,IF($K$3="Deutsch", 1, 2),FALSE)</f>
        <v>Strasse:</v>
      </c>
      <c r="B8" s="167"/>
      <c r="C8" s="11"/>
      <c r="D8" s="212">
        <f>'Bestellung Commande'!C8</f>
        <v>0</v>
      </c>
      <c r="E8" s="212"/>
      <c r="F8" s="212"/>
      <c r="G8" s="225"/>
      <c r="H8" s="225"/>
      <c r="I8" s="225"/>
      <c r="J8" s="225"/>
      <c r="K8" s="225"/>
      <c r="L8" s="225"/>
      <c r="M8" s="225"/>
      <c r="N8" s="225"/>
    </row>
    <row r="9" spans="1:18" ht="15" x14ac:dyDescent="0.25">
      <c r="A9" s="165" t="str">
        <f>VLOOKUP(DATEN!I7,DATEN!$I$1:$J$39,IF($K$3="Deutsch", 1, 2),FALSE)</f>
        <v>PLZ Ort:</v>
      </c>
      <c r="B9" s="167"/>
      <c r="C9" s="11"/>
      <c r="D9" s="212">
        <f>'Bestellung Commande'!C9</f>
        <v>0</v>
      </c>
      <c r="E9" s="212"/>
      <c r="F9" s="212"/>
      <c r="G9" s="225"/>
      <c r="H9" s="225"/>
      <c r="I9" s="225"/>
      <c r="J9" s="225"/>
      <c r="K9" s="225"/>
      <c r="L9" s="225"/>
      <c r="M9" s="225"/>
      <c r="N9" s="225"/>
    </row>
    <row r="10" spans="1:18" ht="15" customHeight="1" x14ac:dyDescent="0.25">
      <c r="A10" s="165" t="str">
        <f>VLOOKUP(DATEN!I8,DATEN!$I$1:$J$39,IF($K$3="Deutsch", 1, 2),FALSE)</f>
        <v>Kontakt:</v>
      </c>
      <c r="B10" s="167"/>
      <c r="C10" s="11"/>
      <c r="D10" s="212">
        <f>'Bestellung Commande'!C10</f>
        <v>0</v>
      </c>
      <c r="E10" s="212"/>
      <c r="F10" s="212"/>
      <c r="G10" s="262" t="str">
        <f>IF(VLOOKUP($A$17,'Bestellung Commande'!$A$27:$O$65,10,FALSE)&lt;&gt;"","Sonderbau!!!","")</f>
        <v/>
      </c>
      <c r="H10" s="262"/>
      <c r="I10" s="262"/>
      <c r="J10" s="262"/>
      <c r="K10" s="262"/>
      <c r="L10" s="262"/>
      <c r="M10" s="262"/>
      <c r="N10" s="262"/>
    </row>
    <row r="11" spans="1:18" ht="15" customHeight="1" x14ac:dyDescent="0.25">
      <c r="A11" s="264" t="s">
        <v>5</v>
      </c>
      <c r="B11" s="264"/>
      <c r="C11" s="264"/>
      <c r="D11" s="264"/>
      <c r="E11" s="264"/>
      <c r="F11" s="264"/>
      <c r="G11" s="262"/>
      <c r="H11" s="262"/>
      <c r="I11" s="262"/>
      <c r="J11" s="262"/>
      <c r="K11" s="262"/>
      <c r="L11" s="262"/>
      <c r="M11" s="262"/>
      <c r="N11" s="262"/>
    </row>
    <row r="12" spans="1:18" ht="15" customHeight="1" x14ac:dyDescent="0.4">
      <c r="A12" s="165" t="str">
        <f>VLOOKUP(DATEN!I6,DATEN!$I$1:$J$39,IF($K$3="Deutsch", 1, 2),FALSE)</f>
        <v>Strasse:</v>
      </c>
      <c r="B12" s="167"/>
      <c r="C12" s="11"/>
      <c r="D12" s="212">
        <f>'Bestellung Commande'!C12</f>
        <v>0</v>
      </c>
      <c r="E12" s="212"/>
      <c r="F12" s="212"/>
      <c r="G12" s="146"/>
      <c r="H12" s="146"/>
      <c r="I12" s="146"/>
      <c r="J12" s="146"/>
      <c r="K12" s="146"/>
      <c r="L12" s="146"/>
      <c r="M12" s="146"/>
      <c r="N12" s="146"/>
    </row>
    <row r="13" spans="1:18" ht="15" customHeight="1" x14ac:dyDescent="0.4">
      <c r="A13" s="165" t="str">
        <f>VLOOKUP(DATEN!I7,DATEN!$I$1:$J$39,IF($K$3="Deutsch", 1, 2),FALSE)</f>
        <v>PLZ Ort:</v>
      </c>
      <c r="B13" s="167"/>
      <c r="C13" s="11"/>
      <c r="D13" s="212">
        <f>'Bestellung Commande'!C13</f>
        <v>0</v>
      </c>
      <c r="E13" s="212"/>
      <c r="F13" s="212"/>
      <c r="G13" s="146"/>
      <c r="H13" s="146"/>
      <c r="I13" s="146"/>
      <c r="J13" s="146"/>
      <c r="K13" s="146"/>
      <c r="L13" s="146"/>
      <c r="M13" s="146"/>
      <c r="N13" s="146"/>
    </row>
    <row r="14" spans="1:18" ht="15" customHeight="1" x14ac:dyDescent="0.4">
      <c r="A14" s="165" t="str">
        <f>VLOOKUP(DATEN!I8,DATEN!$I$1:$J$39,IF($K$3="Deutsch", 1, 2),FALSE)</f>
        <v>Kontakt:</v>
      </c>
      <c r="B14" s="167"/>
      <c r="C14" s="11"/>
      <c r="D14" s="212">
        <f>'Bestellung Commande'!C14</f>
        <v>0</v>
      </c>
      <c r="E14" s="212"/>
      <c r="F14" s="212"/>
      <c r="G14" s="146"/>
      <c r="H14" s="146"/>
      <c r="I14" s="146"/>
      <c r="J14" s="146"/>
      <c r="K14" s="146"/>
      <c r="L14" s="146"/>
      <c r="M14" s="146"/>
      <c r="N14" s="146"/>
    </row>
    <row r="15" spans="1:18" ht="15.75" thickBot="1" x14ac:dyDescent="0.3">
      <c r="A15" s="140" t="str">
        <f>'Bestellung Commande'!A67</f>
        <v>V9.5</v>
      </c>
      <c r="B15" s="14"/>
      <c r="C15" s="14"/>
      <c r="D15" s="15"/>
      <c r="E15" s="15"/>
      <c r="F15" s="15"/>
      <c r="G15" s="13"/>
      <c r="H15" s="13"/>
      <c r="I15" s="13"/>
      <c r="J15" s="13"/>
      <c r="K15" s="13"/>
      <c r="L15" s="13"/>
      <c r="M15" s="16">
        <f>'Bestellung Commande'!N24</f>
        <v>73</v>
      </c>
      <c r="N15" s="13"/>
      <c r="O15" s="20" t="s">
        <v>220</v>
      </c>
      <c r="P15" s="9"/>
      <c r="Q15" s="9"/>
      <c r="R15" s="9"/>
    </row>
    <row r="16" spans="1:18" s="19" customFormat="1" ht="28.5" customHeight="1" x14ac:dyDescent="0.2">
      <c r="A16" s="17" t="s">
        <v>216</v>
      </c>
      <c r="B16" s="176" t="str">
        <f>VLOOKUP(DATEN!I14,DATEN!$I$1:$J$39,IF($K$3="Deutsch", 1, 2),FALSE)</f>
        <v>Anz.
Flügel</v>
      </c>
      <c r="C16" s="176"/>
      <c r="D16" s="17" t="str">
        <f>VLOOKUP(DATEN!I15,DATEN!$I$1:$J$39,IF($K$3="Deutsch", 1, 2),FALSE)</f>
        <v>Stk Schw.</v>
      </c>
      <c r="E16" s="17" t="str">
        <f>VLOOKUP(DATEN!I16,DATEN!$I$1:$J$39,IF($K$3="Deutsch", 1, 2),FALSE)</f>
        <v>RA</v>
      </c>
      <c r="F16" s="17" t="str">
        <f>VLOOKUP(DATEN!I17,DATEN!$I$1:$J$39,IF($K$3="Deutsch", 1, 2),FALSE)</f>
        <v>RBL 
(min45)</v>
      </c>
      <c r="G16" s="17" t="str">
        <f>VLOOKUP(DATEN!I18,DATEN!$I$1:$J$39,IF($K$3="Deutsch", 1, 2),FALSE)</f>
        <v>RBR 
(min45)</v>
      </c>
      <c r="H16" s="17"/>
      <c r="I16" s="184" t="str">
        <f>VLOOKUP(DATEN!I19,DATEN!$I$1:$J$39,IF($K$3="Deutsch", 1, 2),FALSE)</f>
        <v>Verbreiterungen</v>
      </c>
      <c r="J16" s="185"/>
      <c r="K16" s="185"/>
      <c r="L16" s="185"/>
      <c r="M16" s="18" t="str">
        <f>VLOOKUP(DATEN!I20,DATEN!$I$1:$J$39,IF($K$3="Deutsch",1,2),FALSE)</f>
        <v>Total</v>
      </c>
      <c r="N16" s="17"/>
      <c r="O16" s="20" t="str">
        <f>E25</f>
        <v>Profil</v>
      </c>
      <c r="P16" s="20" t="str">
        <f>A26</f>
        <v>Links</v>
      </c>
      <c r="Q16" s="20" t="str">
        <f>A27</f>
        <v>Rechts</v>
      </c>
      <c r="R16" s="20" t="str">
        <f>A28</f>
        <v>Mittelteil</v>
      </c>
    </row>
    <row r="17" spans="1:24" ht="15" thickBot="1" x14ac:dyDescent="0.25">
      <c r="A17" s="41">
        <v>3</v>
      </c>
      <c r="B17" s="268">
        <f>VLOOKUP($A$17,'Bestellung Commande'!$A$27:$O$65,3,FALSE)</f>
        <v>0</v>
      </c>
      <c r="C17" s="268"/>
      <c r="D17" s="41">
        <f>VLOOKUP($A$17,'Bestellung Commande'!$A$27:$O$65,5,FALSE)</f>
        <v>0</v>
      </c>
      <c r="E17" s="41">
        <f>VLOOKUP($A$17,'Bestellung Commande'!$A$27:$O$65,6,FALSE)</f>
        <v>0</v>
      </c>
      <c r="F17" s="41">
        <f>VLOOKUP($A$17,'Bestellung Commande'!$A$27:$O$65,7,FALSE)</f>
        <v>0</v>
      </c>
      <c r="G17" s="41">
        <f>VLOOKUP($A$17,'Bestellung Commande'!$A$27:$O$65,8,FALSE)</f>
        <v>0</v>
      </c>
      <c r="H17" s="41">
        <f>VLOOKUP($A$17,'Bestellung Commande'!$A$27:$O$65,9,FALSE)</f>
        <v>0</v>
      </c>
      <c r="I17" s="22">
        <f>VLOOKUP($A$17,'Bestellung Commande'!$A$27:$O$65,10,FALSE)</f>
        <v>0</v>
      </c>
      <c r="J17" s="23">
        <f>VLOOKUP($A$17,'Bestellung Commande'!$A$27:$O$65,11,FALSE)</f>
        <v>0</v>
      </c>
      <c r="K17" s="23">
        <f>VLOOKUP($A$17,'Bestellung Commande'!$A$27:$O$65,12,FALSE)</f>
        <v>0</v>
      </c>
      <c r="L17" s="23">
        <f>VLOOKUP($A$17,'Bestellung Commande'!$A$27:$O$65,13,FALSE)</f>
        <v>0</v>
      </c>
      <c r="M17" s="125">
        <f>VLOOKUP($A$17,'Bestellung Commande'!$A$27:$O$65,14,FALSE)</f>
        <v>0</v>
      </c>
      <c r="N17" s="24"/>
      <c r="O17" s="9" t="str">
        <f>F25</f>
        <v>C298927</v>
      </c>
      <c r="P17" s="29">
        <f>F26</f>
        <v>20</v>
      </c>
      <c r="Q17" s="29">
        <f>F27</f>
        <v>20</v>
      </c>
      <c r="R17" s="29">
        <f>F28</f>
        <v>-42</v>
      </c>
    </row>
    <row r="18" spans="1:24" x14ac:dyDescent="0.2">
      <c r="B18" s="41" cm="1">
        <f t="array" ref="B18">INDEX('Bestellung Commande'!$C$27:$C$66, MATCH($A$17, 'Bestellung Commande'!$A$27:$A$66, 0) + 1)</f>
        <v>0</v>
      </c>
      <c r="C18" s="41" cm="1">
        <f t="array" ref="C18">INDEX('Bestellung Commande'!$D$27:$D$66, MATCH($A$17, 'Bestellung Commande'!$A$27:$A$66, 0) + 1)</f>
        <v>0</v>
      </c>
    </row>
    <row r="20" spans="1:24" ht="15" x14ac:dyDescent="0.25">
      <c r="A20" s="267" t="s">
        <v>10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</row>
    <row r="21" spans="1:24" ht="15" x14ac:dyDescent="0.25">
      <c r="E21" s="25" t="s">
        <v>11</v>
      </c>
      <c r="F21" s="9" t="s">
        <v>12</v>
      </c>
      <c r="G21"/>
      <c r="H21"/>
      <c r="I21"/>
    </row>
    <row r="22" spans="1:24" x14ac:dyDescent="0.2">
      <c r="E22" t="s">
        <v>13</v>
      </c>
      <c r="F22" s="26">
        <f>E17</f>
        <v>0</v>
      </c>
      <c r="G22"/>
      <c r="H22"/>
      <c r="I22"/>
    </row>
    <row r="23" spans="1:24" x14ac:dyDescent="0.2">
      <c r="F23" s="9">
        <f>B17</f>
        <v>0</v>
      </c>
      <c r="G23"/>
      <c r="H23"/>
      <c r="I23"/>
    </row>
    <row r="24" spans="1:24" ht="15" x14ac:dyDescent="0.25">
      <c r="A24" s="267" t="s">
        <v>14</v>
      </c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</row>
    <row r="25" spans="1:24" ht="15" x14ac:dyDescent="0.25">
      <c r="E25" s="25" t="s">
        <v>11</v>
      </c>
      <c r="F25" s="9" t="s">
        <v>15</v>
      </c>
      <c r="G25"/>
      <c r="H25"/>
      <c r="I25"/>
    </row>
    <row r="26" spans="1:24" x14ac:dyDescent="0.2">
      <c r="A26" t="s">
        <v>16</v>
      </c>
      <c r="E26" t="s">
        <v>13</v>
      </c>
      <c r="F26" s="26">
        <f>F17+20</f>
        <v>20</v>
      </c>
      <c r="G26"/>
      <c r="H26"/>
      <c r="I26"/>
      <c r="W26" s="121" t="s">
        <v>208</v>
      </c>
      <c r="X26" s="122">
        <f>F37-F36</f>
        <v>-100</v>
      </c>
    </row>
    <row r="27" spans="1:24" x14ac:dyDescent="0.2">
      <c r="A27" t="s">
        <v>17</v>
      </c>
      <c r="E27" t="s">
        <v>13</v>
      </c>
      <c r="F27" s="26">
        <f>G17+20</f>
        <v>20</v>
      </c>
      <c r="G27"/>
      <c r="H27"/>
      <c r="I27"/>
      <c r="W27" t="s">
        <v>209</v>
      </c>
      <c r="X27">
        <f>[1]DATEN!D14</f>
        <v>300</v>
      </c>
    </row>
    <row r="28" spans="1:24" x14ac:dyDescent="0.2">
      <c r="A28" t="s">
        <v>18</v>
      </c>
      <c r="E28" t="s">
        <v>13</v>
      </c>
      <c r="F28" s="26">
        <f>(E17-(F26+F27))-2</f>
        <v>-42</v>
      </c>
      <c r="G28"/>
      <c r="H28"/>
      <c r="I28"/>
      <c r="P28" t="s">
        <v>293</v>
      </c>
      <c r="T28" t="s">
        <v>294</v>
      </c>
      <c r="W28" t="s">
        <v>210</v>
      </c>
      <c r="X28">
        <f>ROUNDUP(X26/X27,0)</f>
        <v>-1</v>
      </c>
    </row>
    <row r="29" spans="1:24" ht="15" x14ac:dyDescent="0.25">
      <c r="A29" s="267" t="s">
        <v>19</v>
      </c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7" t="str">
        <f t="shared" ref="O29:O39" si="0">IF(AND($F$32&gt;=Q29,$F$32&lt;R29),P29,"")</f>
        <v/>
      </c>
      <c r="P29" s="28" t="str">
        <f>" "</f>
        <v xml:space="preserve"> </v>
      </c>
      <c r="Q29" s="28">
        <v>-1000000</v>
      </c>
      <c r="R29" s="28">
        <v>0</v>
      </c>
      <c r="S29" s="27" t="str">
        <f t="shared" ref="S29:S39" si="1">IF(AND($G$32&gt;=U29,$G$32&lt;V29),T29,"")</f>
        <v/>
      </c>
      <c r="T29" s="28" t="str">
        <f t="shared" ref="T29:T30" si="2">P29</f>
        <v xml:space="preserve"> </v>
      </c>
      <c r="U29" s="28">
        <f t="shared" ref="U29:U30" si="3">Q29</f>
        <v>-1000000</v>
      </c>
      <c r="V29" s="28">
        <f t="shared" ref="V29:V30" si="4">R29</f>
        <v>0</v>
      </c>
      <c r="W29" t="s">
        <v>211</v>
      </c>
      <c r="X29">
        <f>X26/X28</f>
        <v>100</v>
      </c>
    </row>
    <row r="30" spans="1:24" ht="15" x14ac:dyDescent="0.25">
      <c r="F30" s="25" t="s">
        <v>293</v>
      </c>
      <c r="G30" s="25" t="s">
        <v>294</v>
      </c>
      <c r="H30"/>
      <c r="I30"/>
      <c r="K30"/>
      <c r="N30"/>
      <c r="O30" s="27" t="str">
        <f t="shared" si="0"/>
        <v/>
      </c>
      <c r="P30" s="28"/>
      <c r="Q30" s="28">
        <v>0.1</v>
      </c>
      <c r="R30" s="28">
        <v>247.9</v>
      </c>
      <c r="S30" s="27" t="str">
        <f t="shared" si="1"/>
        <v/>
      </c>
      <c r="T30" s="28">
        <f t="shared" si="2"/>
        <v>0</v>
      </c>
      <c r="U30" s="28">
        <f t="shared" si="3"/>
        <v>0.1</v>
      </c>
      <c r="V30" s="28">
        <f t="shared" si="4"/>
        <v>247.9</v>
      </c>
    </row>
    <row r="31" spans="1:24" x14ac:dyDescent="0.2">
      <c r="F31" s="9" t="str">
        <f>O29&amp;O31&amp;O32&amp;O33&amp;O34&amp;O35&amp;O36&amp;O37&amp;O38&amp;O39</f>
        <v/>
      </c>
      <c r="G31" s="9" t="str">
        <f>S29&amp;S31&amp;S32&amp;S33&amp;S34&amp;S35&amp;S36&amp;S37&amp;S38&amp;S39</f>
        <v/>
      </c>
      <c r="I31"/>
      <c r="O31" s="27" t="str">
        <f t="shared" si="0"/>
        <v/>
      </c>
      <c r="P31" s="28" t="str">
        <f>DATEN!M7</f>
        <v>C555366</v>
      </c>
      <c r="Q31" s="28">
        <f>DATEN!N7</f>
        <v>275</v>
      </c>
      <c r="R31" s="28">
        <f>DATEN!O7</f>
        <v>400</v>
      </c>
      <c r="S31" s="27" t="str">
        <f t="shared" si="1"/>
        <v/>
      </c>
      <c r="T31" s="28" t="str">
        <f>P31</f>
        <v>C555366</v>
      </c>
      <c r="U31" s="28">
        <f t="shared" ref="U31:V39" si="5">Q31</f>
        <v>275</v>
      </c>
      <c r="V31" s="28">
        <f t="shared" si="5"/>
        <v>400</v>
      </c>
      <c r="W31">
        <v>1</v>
      </c>
      <c r="X31" s="29">
        <f>F36</f>
        <v>50</v>
      </c>
    </row>
    <row r="32" spans="1:24" x14ac:dyDescent="0.2">
      <c r="A32" t="s">
        <v>13</v>
      </c>
      <c r="F32" s="26" t="b">
        <f>IF(AND(B17=1,B18=0),H17,IF(AND(B17=1,B18&gt;0),B18,IF(AND(B17=2,B18=0),(H17-20)/2,IF(AND(B17=2,B18&gt;0),B18))))</f>
        <v>0</v>
      </c>
      <c r="G32" s="26">
        <f>IF(B17=1,0,IF(AND(B17=2,C18=0),0,C18))</f>
        <v>0</v>
      </c>
      <c r="I32"/>
      <c r="O32" s="27" t="str">
        <f t="shared" si="0"/>
        <v/>
      </c>
      <c r="P32" s="28" t="str">
        <f>DATEN!M8</f>
        <v>C555367</v>
      </c>
      <c r="Q32" s="28">
        <f>DATEN!N8</f>
        <v>400</v>
      </c>
      <c r="R32" s="28">
        <f>DATEN!O8</f>
        <v>550</v>
      </c>
      <c r="S32" s="27" t="str">
        <f t="shared" si="1"/>
        <v/>
      </c>
      <c r="T32" s="28" t="str">
        <f t="shared" ref="T32:T39" si="6">P32</f>
        <v>C555367</v>
      </c>
      <c r="U32" s="28">
        <f t="shared" si="5"/>
        <v>400</v>
      </c>
      <c r="V32" s="28">
        <f t="shared" si="5"/>
        <v>550</v>
      </c>
      <c r="W32">
        <v>2</v>
      </c>
      <c r="X32" s="29">
        <f>ROUND(IF(W32-1&gt;$X$28,0,X31+$X$29),0)</f>
        <v>0</v>
      </c>
    </row>
    <row r="33" spans="1:24" x14ac:dyDescent="0.2">
      <c r="A33" t="s">
        <v>23</v>
      </c>
      <c r="F33" s="30">
        <f>IF(AND(B17=2,B18=0),B17,1)*D17</f>
        <v>0</v>
      </c>
      <c r="G33" s="30">
        <f>IF(G32&gt;0,1,0)*D17</f>
        <v>0</v>
      </c>
      <c r="I33"/>
      <c r="O33" s="27" t="str">
        <f t="shared" si="0"/>
        <v/>
      </c>
      <c r="P33" s="28" t="str">
        <f>DATEN!M9</f>
        <v>C555368</v>
      </c>
      <c r="Q33" s="28">
        <f>DATEN!N9</f>
        <v>550</v>
      </c>
      <c r="R33" s="28">
        <f>DATEN!O9</f>
        <v>700</v>
      </c>
      <c r="S33" s="27" t="str">
        <f t="shared" si="1"/>
        <v/>
      </c>
      <c r="T33" s="28" t="str">
        <f t="shared" si="6"/>
        <v>C555368</v>
      </c>
      <c r="U33" s="28">
        <f t="shared" si="5"/>
        <v>550</v>
      </c>
      <c r="V33" s="28">
        <f t="shared" si="5"/>
        <v>700</v>
      </c>
      <c r="W33">
        <v>3</v>
      </c>
      <c r="X33" s="29">
        <f t="shared" ref="X33:X40" si="7">ROUND(IF(W33-1&gt;$X$28,0,X32+$X$29),0)</f>
        <v>0</v>
      </c>
    </row>
    <row r="34" spans="1:24" ht="15" x14ac:dyDescent="0.25">
      <c r="A34" s="267" t="s">
        <v>25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7" t="str">
        <f>IF(AND($F$32&gt;=Q34,$F$32&lt;R34),P34,"")</f>
        <v/>
      </c>
      <c r="P34" s="28" t="str">
        <f>DATEN!M10</f>
        <v>C555369</v>
      </c>
      <c r="Q34" s="28">
        <f>DATEN!N10</f>
        <v>700</v>
      </c>
      <c r="R34" s="28">
        <f>DATEN!O10</f>
        <v>850</v>
      </c>
      <c r="S34" s="27" t="str">
        <f t="shared" si="1"/>
        <v/>
      </c>
      <c r="T34" s="28" t="str">
        <f t="shared" si="6"/>
        <v>C555369</v>
      </c>
      <c r="U34" s="28">
        <f t="shared" si="5"/>
        <v>700</v>
      </c>
      <c r="V34" s="28">
        <f t="shared" si="5"/>
        <v>850</v>
      </c>
      <c r="W34">
        <v>4</v>
      </c>
      <c r="X34" s="29">
        <f t="shared" si="7"/>
        <v>0</v>
      </c>
    </row>
    <row r="35" spans="1:24" ht="15" x14ac:dyDescent="0.25">
      <c r="A35" s="31" t="s">
        <v>27</v>
      </c>
      <c r="F35" s="9" t="s">
        <v>28</v>
      </c>
      <c r="G35" s="32" t="s">
        <v>29</v>
      </c>
      <c r="H35" s="32"/>
      <c r="I35"/>
      <c r="O35" s="27" t="str">
        <f t="shared" si="0"/>
        <v/>
      </c>
      <c r="P35" s="28" t="str">
        <f>DATEN!M11</f>
        <v>C555370</v>
      </c>
      <c r="Q35" s="28">
        <f>DATEN!N11</f>
        <v>850</v>
      </c>
      <c r="R35" s="28">
        <f>DATEN!O11</f>
        <v>1000</v>
      </c>
      <c r="S35" s="27" t="str">
        <f>IF(AND($G$32&gt;=U35,$G$32&lt;V35),T35,"")</f>
        <v/>
      </c>
      <c r="T35" s="28" t="str">
        <f t="shared" si="6"/>
        <v>C555370</v>
      </c>
      <c r="U35" s="28">
        <f t="shared" si="5"/>
        <v>850</v>
      </c>
      <c r="V35" s="28">
        <f t="shared" si="5"/>
        <v>1000</v>
      </c>
      <c r="W35">
        <v>5</v>
      </c>
      <c r="X35" s="29">
        <f t="shared" si="7"/>
        <v>0</v>
      </c>
    </row>
    <row r="36" spans="1:24" x14ac:dyDescent="0.2">
      <c r="A36" t="s">
        <v>31</v>
      </c>
      <c r="F36" s="26">
        <f>F17+50</f>
        <v>50</v>
      </c>
      <c r="G36"/>
      <c r="H36" t="s">
        <v>206</v>
      </c>
      <c r="I36"/>
      <c r="O36" s="27" t="str">
        <f t="shared" si="0"/>
        <v/>
      </c>
      <c r="P36" s="28" t="str">
        <f>DATEN!M12</f>
        <v>C555371</v>
      </c>
      <c r="Q36" s="28">
        <f>DATEN!N12</f>
        <v>1000</v>
      </c>
      <c r="R36" s="28">
        <f>DATEN!O12</f>
        <v>1150</v>
      </c>
      <c r="S36" s="27" t="str">
        <f t="shared" si="1"/>
        <v/>
      </c>
      <c r="T36" s="28" t="str">
        <f t="shared" si="6"/>
        <v>C555371</v>
      </c>
      <c r="U36" s="28">
        <f t="shared" si="5"/>
        <v>1000</v>
      </c>
      <c r="V36" s="28">
        <f t="shared" si="5"/>
        <v>1150</v>
      </c>
      <c r="W36">
        <v>6</v>
      </c>
      <c r="X36" s="29">
        <f t="shared" si="7"/>
        <v>0</v>
      </c>
    </row>
    <row r="37" spans="1:24" x14ac:dyDescent="0.2">
      <c r="A37" t="s">
        <v>33</v>
      </c>
      <c r="F37" s="26">
        <f>F17+H17-DATEN!$D$13</f>
        <v>-50</v>
      </c>
      <c r="H37" t="s">
        <v>36</v>
      </c>
      <c r="I37"/>
      <c r="J37" s="9">
        <f>X28+1</f>
        <v>0</v>
      </c>
      <c r="O37" s="27" t="str">
        <f t="shared" si="0"/>
        <v/>
      </c>
      <c r="P37" s="28" t="str">
        <f>DATEN!M13</f>
        <v>C555372</v>
      </c>
      <c r="Q37" s="28">
        <f>DATEN!N13</f>
        <v>1150</v>
      </c>
      <c r="R37" s="28">
        <f>DATEN!O13</f>
        <v>1300</v>
      </c>
      <c r="S37" s="27" t="str">
        <f t="shared" si="1"/>
        <v/>
      </c>
      <c r="T37" s="28" t="str">
        <f t="shared" si="6"/>
        <v>C555372</v>
      </c>
      <c r="U37" s="28">
        <f t="shared" si="5"/>
        <v>1150</v>
      </c>
      <c r="V37" s="28">
        <f t="shared" si="5"/>
        <v>1300</v>
      </c>
      <c r="W37">
        <v>7</v>
      </c>
      <c r="X37" s="29">
        <f t="shared" si="7"/>
        <v>0</v>
      </c>
    </row>
    <row r="38" spans="1:24" x14ac:dyDescent="0.2">
      <c r="A38" s="33" t="s">
        <v>35</v>
      </c>
      <c r="F38" s="123" t="str">
        <f>X31&amp;IF(X32="",""," / ")&amp;X32  &amp; IF(X33="",""," / ")&amp;X33&amp; IF(X34="",""," / ")&amp;X34&amp; IF(X35="",""," / ")&amp;X35&amp; IF(X36="",""," / ")&amp;X36&amp; IF(X37="",""," / ")&amp;X37&amp; IF(X38="",""," / ")&amp;X38&amp; IF(X39="",""," / ")&amp;X39&amp; IF(X40="",""," / ")&amp;X40</f>
        <v>50 / 0 / 0 / 0 / 0 / 0 / 0 / 0 / 0 / 0</v>
      </c>
      <c r="O38" s="27" t="str">
        <f t="shared" si="0"/>
        <v/>
      </c>
      <c r="P38" s="28" t="str">
        <f>DATEN!M14</f>
        <v>C555373</v>
      </c>
      <c r="Q38" s="28">
        <f>DATEN!N14</f>
        <v>1300</v>
      </c>
      <c r="R38" s="28">
        <f>DATEN!O14</f>
        <v>1450</v>
      </c>
      <c r="S38" s="27" t="str">
        <f t="shared" si="1"/>
        <v/>
      </c>
      <c r="T38" s="28" t="str">
        <f t="shared" si="6"/>
        <v>C555373</v>
      </c>
      <c r="U38" s="28">
        <f t="shared" si="5"/>
        <v>1300</v>
      </c>
      <c r="V38" s="28">
        <f t="shared" si="5"/>
        <v>1450</v>
      </c>
      <c r="W38">
        <v>8</v>
      </c>
      <c r="X38" s="29">
        <f t="shared" si="7"/>
        <v>0</v>
      </c>
    </row>
    <row r="39" spans="1:24" x14ac:dyDescent="0.2">
      <c r="F39" s="9"/>
      <c r="G39"/>
      <c r="H39"/>
      <c r="I39"/>
      <c r="O39" s="27" t="str">
        <f t="shared" si="0"/>
        <v/>
      </c>
      <c r="P39" s="28" t="str">
        <f>DATEN!M15</f>
        <v>Zu Lang</v>
      </c>
      <c r="Q39" s="28">
        <f>DATEN!N15</f>
        <v>1450.1</v>
      </c>
      <c r="R39" s="28">
        <f>DATEN!O15</f>
        <v>1000000</v>
      </c>
      <c r="S39" s="27" t="str">
        <f t="shared" si="1"/>
        <v/>
      </c>
      <c r="T39" s="28" t="str">
        <f t="shared" si="6"/>
        <v>Zu Lang</v>
      </c>
      <c r="U39" s="28">
        <f t="shared" si="5"/>
        <v>1450.1</v>
      </c>
      <c r="V39" s="28">
        <f t="shared" si="5"/>
        <v>1000000</v>
      </c>
      <c r="W39">
        <v>9</v>
      </c>
      <c r="X39" s="29">
        <f t="shared" si="7"/>
        <v>0</v>
      </c>
    </row>
    <row r="40" spans="1:24" ht="15" x14ac:dyDescent="0.25">
      <c r="A40" s="267" t="s">
        <v>39</v>
      </c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W40">
        <v>10</v>
      </c>
      <c r="X40" s="29">
        <f t="shared" si="7"/>
        <v>0</v>
      </c>
    </row>
    <row r="41" spans="1:24" x14ac:dyDescent="0.2">
      <c r="A41" t="s">
        <v>41</v>
      </c>
      <c r="F41" s="26">
        <f>G17-15</f>
        <v>-15</v>
      </c>
      <c r="G41"/>
      <c r="H41"/>
      <c r="I41"/>
    </row>
    <row r="42" spans="1:24" x14ac:dyDescent="0.2">
      <c r="A42" t="s">
        <v>42</v>
      </c>
      <c r="F42" s="26">
        <f>E17-G17+15</f>
        <v>15</v>
      </c>
      <c r="G42"/>
      <c r="H42"/>
      <c r="I42"/>
    </row>
    <row r="43" spans="1:24" x14ac:dyDescent="0.2">
      <c r="A43" t="s">
        <v>43</v>
      </c>
      <c r="F43" s="26">
        <f>G17-35</f>
        <v>-35</v>
      </c>
      <c r="G43"/>
      <c r="H43"/>
      <c r="I43"/>
    </row>
    <row r="44" spans="1:24" x14ac:dyDescent="0.2">
      <c r="A44" t="s">
        <v>44</v>
      </c>
      <c r="F44" s="26">
        <f>E17-G17+35</f>
        <v>35</v>
      </c>
      <c r="G44"/>
      <c r="H44"/>
      <c r="I44"/>
    </row>
    <row r="45" spans="1:24" x14ac:dyDescent="0.2">
      <c r="A45" t="s">
        <v>45</v>
      </c>
      <c r="F45" s="26">
        <f>F17-23</f>
        <v>-23</v>
      </c>
      <c r="G45"/>
      <c r="H45"/>
      <c r="I45"/>
    </row>
    <row r="46" spans="1:24" x14ac:dyDescent="0.2">
      <c r="A46" t="s">
        <v>46</v>
      </c>
      <c r="F46" s="26">
        <f>E17-G17+23</f>
        <v>23</v>
      </c>
      <c r="G46"/>
      <c r="H46"/>
      <c r="I46"/>
    </row>
    <row r="47" spans="1:24" x14ac:dyDescent="0.2">
      <c r="F47" s="9"/>
      <c r="G47"/>
      <c r="H47"/>
      <c r="I47"/>
      <c r="P47" s="9"/>
    </row>
    <row r="48" spans="1:24" ht="15" x14ac:dyDescent="0.25">
      <c r="A48" s="34" t="s">
        <v>47</v>
      </c>
      <c r="B48" s="35"/>
      <c r="C48" s="35"/>
      <c r="D48" s="35"/>
      <c r="E48" s="35"/>
      <c r="F48" s="35" t="s">
        <v>48</v>
      </c>
      <c r="G48" s="35"/>
      <c r="H48" s="35"/>
      <c r="I48" s="35"/>
      <c r="J48" s="35"/>
      <c r="K48" s="35"/>
      <c r="L48" s="35"/>
    </row>
    <row r="49" spans="1:14" x14ac:dyDescent="0.2">
      <c r="A49" t="s">
        <v>49</v>
      </c>
      <c r="F49" s="26">
        <v>25</v>
      </c>
      <c r="G49"/>
      <c r="H49"/>
      <c r="I49"/>
    </row>
    <row r="50" spans="1:14" x14ac:dyDescent="0.2">
      <c r="A50" t="s">
        <v>33</v>
      </c>
      <c r="F50" s="26">
        <f>F28-25</f>
        <v>-67</v>
      </c>
      <c r="G50"/>
      <c r="H50"/>
      <c r="I50"/>
    </row>
    <row r="51" spans="1:14" x14ac:dyDescent="0.2">
      <c r="A51" s="33" t="s">
        <v>35</v>
      </c>
      <c r="F51" s="36" t="s">
        <v>50</v>
      </c>
      <c r="G51"/>
      <c r="H51"/>
      <c r="I51" t="s">
        <v>36</v>
      </c>
    </row>
    <row r="52" spans="1:14" x14ac:dyDescent="0.2">
      <c r="F52" s="129" t="str">
        <f>IF(B17=2,"Achtung!! 2 Flüglig!! Mittleres Loch auslassen","")</f>
        <v/>
      </c>
      <c r="G52"/>
      <c r="H52"/>
      <c r="I52"/>
    </row>
    <row r="53" spans="1:14" ht="15" x14ac:dyDescent="0.25">
      <c r="A53" s="267" t="s">
        <v>51</v>
      </c>
      <c r="B53" s="267"/>
      <c r="C53" s="267"/>
      <c r="D53" s="267"/>
      <c r="E53" s="267"/>
      <c r="F53" s="267"/>
      <c r="G53" s="267"/>
      <c r="H53" s="267"/>
      <c r="I53" s="267"/>
      <c r="J53" s="267"/>
      <c r="K53" s="267"/>
      <c r="L53" s="267"/>
    </row>
    <row r="54" spans="1:14" x14ac:dyDescent="0.2">
      <c r="A54" s="35" t="s">
        <v>52</v>
      </c>
      <c r="B54" s="37" t="s">
        <v>53</v>
      </c>
      <c r="C54" s="37"/>
      <c r="D54" s="206" t="s">
        <v>54</v>
      </c>
      <c r="E54" s="206"/>
      <c r="F54" s="35" t="s">
        <v>55</v>
      </c>
      <c r="G54" s="35"/>
      <c r="H54" s="35"/>
      <c r="I54" s="35"/>
      <c r="J54" s="35"/>
      <c r="K54" s="266" t="s">
        <v>13</v>
      </c>
      <c r="L54" s="266"/>
    </row>
    <row r="55" spans="1:14" x14ac:dyDescent="0.2">
      <c r="A55" s="12">
        <v>1</v>
      </c>
      <c r="B55" s="9">
        <f>VLOOKUP(A17,'Bestellung Commande'!A27:O65,11,FALSE)</f>
        <v>0</v>
      </c>
      <c r="C55" s="9"/>
      <c r="D55" s="252">
        <f>IF(ISERROR(VLOOKUP($B55,DATEN!$A$3:$D$10,2,FALSE)),"",VLOOKUP($B55,DATEN!$A$3:$D$10,2,FALSE))</f>
        <v>0</v>
      </c>
      <c r="E55" s="252"/>
      <c r="F55" s="12">
        <f>IF(ISERROR(VLOOKUP($B55,DATEN!$A$3:$D$10,3,FALSE)),"",VLOOKUP($B55,DATEN!$A$3:$D$10,3,FALSE))</f>
        <v>0</v>
      </c>
      <c r="G55"/>
      <c r="H55"/>
      <c r="K55" s="265">
        <f>$F$22</f>
        <v>0</v>
      </c>
      <c r="L55" s="265"/>
    </row>
    <row r="56" spans="1:14" x14ac:dyDescent="0.2">
      <c r="A56" s="12">
        <v>2</v>
      </c>
      <c r="B56" s="9">
        <f>VLOOKUP(A17,'Bestellung Commande'!A27:O65,12,FALSE)</f>
        <v>0</v>
      </c>
      <c r="C56" s="9"/>
      <c r="D56" s="252">
        <f>IF(ISERROR(VLOOKUP($B56,DATEN!$A$3:$D$10,2,FALSE)),"",VLOOKUP($B56,DATEN!$A$3:$D$10,2,FALSE))</f>
        <v>0</v>
      </c>
      <c r="E56" s="252"/>
      <c r="F56" s="9">
        <f>IF(ISERROR(VLOOKUP($B56,DATEN!$A$3:$D$10,3,FALSE)),"",VLOOKUP($B56,DATEN!$A$3:$D$10,3,FALSE))</f>
        <v>0</v>
      </c>
      <c r="G56"/>
      <c r="H56"/>
      <c r="K56" s="265">
        <f t="shared" ref="K56:K58" si="8">$F$22</f>
        <v>0</v>
      </c>
      <c r="L56" s="265"/>
    </row>
    <row r="57" spans="1:14" x14ac:dyDescent="0.2">
      <c r="A57" s="12">
        <v>3</v>
      </c>
      <c r="B57" s="9">
        <f>VLOOKUP(A17,'Bestellung Commande'!A27:O65,13,FALSE)</f>
        <v>0</v>
      </c>
      <c r="C57" s="9"/>
      <c r="D57" s="252">
        <f>IF(ISERROR(VLOOKUP($B57,DATEN!$A$3:$D$10,2,FALSE)),"",VLOOKUP($B57,DATEN!$A$3:$D$10,2,FALSE))</f>
        <v>0</v>
      </c>
      <c r="E57" s="252"/>
      <c r="F57" s="9">
        <f>IF(ISERROR(VLOOKUP($B57,DATEN!$A$3:$D$10,3,FALSE)),"",VLOOKUP($B57,DATEN!$A$3:$D$10,3,FALSE))</f>
        <v>0</v>
      </c>
      <c r="K57" s="265">
        <f t="shared" si="8"/>
        <v>0</v>
      </c>
      <c r="L57" s="265"/>
    </row>
    <row r="58" spans="1:14" x14ac:dyDescent="0.2">
      <c r="A58" s="12">
        <v>4</v>
      </c>
      <c r="B58" s="9">
        <f>VLOOKUP(A17,'Bestellung Commande'!A27:O65,14,FALSE)</f>
        <v>0</v>
      </c>
      <c r="C58" s="9"/>
      <c r="D58" s="252">
        <f>IF(ISERROR(VLOOKUP($B58,DATEN!$A$3:$D$10,2,FALSE)),"",VLOOKUP($B58,DATEN!$A$3:$D$10,2,FALSE))</f>
        <v>0</v>
      </c>
      <c r="E58" s="252"/>
      <c r="F58" s="9">
        <f>IF(ISERROR(VLOOKUP($B58,DATEN!$A$3:$D$10,3,FALSE)),"",VLOOKUP($B58,DATEN!$A$3:$D$10,3,FALSE))</f>
        <v>0</v>
      </c>
      <c r="K58" s="265">
        <f t="shared" si="8"/>
        <v>0</v>
      </c>
      <c r="L58" s="265"/>
      <c r="N58" s="46">
        <f>'Bestellung Commande'!B44</f>
        <v>0</v>
      </c>
    </row>
  </sheetData>
  <sheetProtection algorithmName="SHA-512" hashValue="gW3RAtL8DJiN/rt1GiCuZfd2ylH/ovDrQm5uqhfO0nshVbFvpxG0yiaS88bTBZqeHeAzVVGYOMNc2XVcVg5uCA==" saltValue="HQ8bMIX1pa8sDtsADLh/4A==" spinCount="100000" sheet="1" objects="1" scenarios="1"/>
  <mergeCells count="52">
    <mergeCell ref="D57:E57"/>
    <mergeCell ref="K57:L57"/>
    <mergeCell ref="D58:E58"/>
    <mergeCell ref="K58:L58"/>
    <mergeCell ref="A53:L53"/>
    <mergeCell ref="D54:E54"/>
    <mergeCell ref="K54:L54"/>
    <mergeCell ref="D55:E55"/>
    <mergeCell ref="K55:L55"/>
    <mergeCell ref="D56:E56"/>
    <mergeCell ref="K56:L56"/>
    <mergeCell ref="A40:L40"/>
    <mergeCell ref="A13:B13"/>
    <mergeCell ref="D13:F13"/>
    <mergeCell ref="A14:B14"/>
    <mergeCell ref="D14:F14"/>
    <mergeCell ref="B16:C16"/>
    <mergeCell ref="I16:L16"/>
    <mergeCell ref="B17:C17"/>
    <mergeCell ref="A20:N20"/>
    <mergeCell ref="A24:N24"/>
    <mergeCell ref="A29:N29"/>
    <mergeCell ref="A34:N34"/>
    <mergeCell ref="A10:B10"/>
    <mergeCell ref="D10:F10"/>
    <mergeCell ref="G10:N11"/>
    <mergeCell ref="A11:F11"/>
    <mergeCell ref="A12:B12"/>
    <mergeCell ref="D12:F12"/>
    <mergeCell ref="A6:B6"/>
    <mergeCell ref="D6:F6"/>
    <mergeCell ref="G6:N6"/>
    <mergeCell ref="A7:F7"/>
    <mergeCell ref="G7:N9"/>
    <mergeCell ref="A8:B8"/>
    <mergeCell ref="D8:F8"/>
    <mergeCell ref="A9:B9"/>
    <mergeCell ref="D9:F9"/>
    <mergeCell ref="D4:F4"/>
    <mergeCell ref="G4:J4"/>
    <mergeCell ref="K4:N4"/>
    <mergeCell ref="A5:B5"/>
    <mergeCell ref="D5:F5"/>
    <mergeCell ref="G5:J5"/>
    <mergeCell ref="K5:N5"/>
    <mergeCell ref="A1:N1"/>
    <mergeCell ref="A2:F2"/>
    <mergeCell ref="G2:N2"/>
    <mergeCell ref="A3:B3"/>
    <mergeCell ref="D3:F3"/>
    <mergeCell ref="G3:J3"/>
    <mergeCell ref="K3:N3"/>
  </mergeCells>
  <printOptions horizontalCentered="1"/>
  <pageMargins left="0.27" right="0.31" top="0.74803149606299213" bottom="0.74803149606299213" header="0.31496062992125984" footer="0.31496062992125984"/>
  <pageSetup paperSize="9" scale="87" orientation="portrait" r:id="rId1"/>
  <headerFooter>
    <oddHeader>&amp;R&amp;G</oddHeader>
    <oddFooter>&amp;LDuckdatum: &amp;D
&amp;F&amp;R&amp;P/&amp;N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E3225B-6C40-4378-B110-0B1C9049B979}">
          <x14:formula1>
            <xm:f>DATEN!$I$1:$J$1</xm:f>
          </x14:formula1>
          <xm:sqref>K3:N3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F0220-3392-4684-A8A9-2B9335372F87}">
  <sheetPr codeName="Tabelle5"/>
  <dimension ref="A1:X58"/>
  <sheetViews>
    <sheetView view="pageBreakPreview" topLeftCell="A3" zoomScaleNormal="120" zoomScaleSheetLayoutView="100" workbookViewId="0">
      <selection activeCell="A12" sqref="A12:B12"/>
    </sheetView>
  </sheetViews>
  <sheetFormatPr baseColWidth="10" defaultColWidth="11" defaultRowHeight="14.25" x14ac:dyDescent="0.2"/>
  <cols>
    <col min="1" max="3" width="8.875" customWidth="1"/>
    <col min="4" max="5" width="6.5" customWidth="1"/>
    <col min="6" max="6" width="10.625" customWidth="1"/>
    <col min="7" max="7" width="8.75" style="9" customWidth="1"/>
    <col min="8" max="8" width="8.875" style="9" customWidth="1"/>
    <col min="9" max="9" width="4.875" style="9" customWidth="1"/>
    <col min="10" max="10" width="8.75" customWidth="1"/>
    <col min="11" max="11" width="4.5" style="9" customWidth="1"/>
    <col min="12" max="13" width="4.5" customWidth="1"/>
    <col min="14" max="14" width="4.5" style="9" customWidth="1"/>
  </cols>
  <sheetData>
    <row r="1" spans="1:18" ht="23.25" x14ac:dyDescent="0.2">
      <c r="A1" s="238" t="s">
        <v>9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1:18" ht="15" x14ac:dyDescent="0.25">
      <c r="A2" s="253" t="s">
        <v>0</v>
      </c>
      <c r="B2" s="254"/>
      <c r="C2" s="254"/>
      <c r="D2" s="254"/>
      <c r="E2" s="254"/>
      <c r="F2" s="255"/>
      <c r="G2" s="161" t="s">
        <v>1</v>
      </c>
      <c r="H2" s="162"/>
      <c r="I2" s="162"/>
      <c r="J2" s="162"/>
      <c r="K2" s="162"/>
      <c r="L2" s="162"/>
      <c r="M2" s="162"/>
      <c r="N2" s="162"/>
    </row>
    <row r="3" spans="1:18" ht="15" x14ac:dyDescent="0.25">
      <c r="A3" s="165" t="str">
        <f>VLOOKUP(DATEN!I2,DATEN!$I$1:$J$39,IF($K$3="Deutsch", 1, 2),FALSE)</f>
        <v>Kunde Name:</v>
      </c>
      <c r="B3" s="167"/>
      <c r="C3" s="11"/>
      <c r="D3" s="212">
        <f>'Bestellung Commande'!C2</f>
        <v>0</v>
      </c>
      <c r="E3" s="212"/>
      <c r="F3" s="212"/>
      <c r="G3" s="256" t="s">
        <v>2</v>
      </c>
      <c r="H3" s="257"/>
      <c r="I3" s="257"/>
      <c r="J3" s="258"/>
      <c r="K3" s="259" t="s">
        <v>3</v>
      </c>
      <c r="L3" s="260"/>
      <c r="M3" s="260"/>
      <c r="N3" s="261"/>
    </row>
    <row r="4" spans="1:18" ht="15" x14ac:dyDescent="0.25">
      <c r="A4" s="10" t="str">
        <f>VLOOKUP(DATEN!I3,DATEN!$I$1:$J$39,IF($K$3="Deutsch", 1, 2),FALSE)</f>
        <v>Kontaktperson:</v>
      </c>
      <c r="B4" s="11"/>
      <c r="C4" s="11"/>
      <c r="D4" s="212">
        <f>'Bestellung Commande'!C3</f>
        <v>0</v>
      </c>
      <c r="E4" s="212"/>
      <c r="F4" s="212"/>
      <c r="G4" s="256" t="str">
        <f>VLOOKUP(DATEN!I9,DATEN!$I$1:$J$39,IF($K$3="Deutsch", 1, 2),FALSE)</f>
        <v>Bestelldatum:</v>
      </c>
      <c r="H4" s="257"/>
      <c r="I4" s="257"/>
      <c r="J4" s="258"/>
      <c r="K4" s="263">
        <f>'Bestellung Commande'!L3</f>
        <v>0</v>
      </c>
      <c r="L4" s="260"/>
      <c r="M4" s="260"/>
      <c r="N4" s="261"/>
    </row>
    <row r="5" spans="1:18" ht="15" x14ac:dyDescent="0.25">
      <c r="A5" s="165" t="str">
        <f>VLOOKUP(DATEN!I4,DATEN!$I$1:$J$39,IF($K$3="Deutsch", 1, 2),FALSE)</f>
        <v>Kommision:</v>
      </c>
      <c r="B5" s="167"/>
      <c r="C5" s="11"/>
      <c r="D5" s="212">
        <f>'Bestellung Commande'!C4</f>
        <v>0</v>
      </c>
      <c r="E5" s="212"/>
      <c r="F5" s="212"/>
      <c r="G5" s="256" t="str">
        <f>VLOOKUP(DATEN!I10,DATEN!$I$1:$J$39,IF($K$3="Deutsch", 1, 2),FALSE)</f>
        <v>Wunsch Liefertermin:</v>
      </c>
      <c r="H5" s="257"/>
      <c r="I5" s="257"/>
      <c r="J5" s="258"/>
      <c r="K5" s="263">
        <f>'Bestellung Commande'!L4</f>
        <v>0</v>
      </c>
      <c r="L5" s="260"/>
      <c r="M5" s="260"/>
      <c r="N5" s="261"/>
    </row>
    <row r="6" spans="1:18" ht="15" x14ac:dyDescent="0.25">
      <c r="A6" s="165" t="str">
        <f>VLOOKUP(DATEN!I5,DATEN!$I$1:$J$39,IF($K$3="Deutsch", 1, 2),FALSE)</f>
        <v>Kontakt Telefon:</v>
      </c>
      <c r="B6" s="167"/>
      <c r="C6" s="11"/>
      <c r="D6" s="212">
        <f>'Bestellung Commande'!C5</f>
        <v>0</v>
      </c>
      <c r="E6" s="212"/>
      <c r="F6" s="212"/>
      <c r="G6" s="163" t="str">
        <f>VLOOKUP(DATEN!I11,DATEN!$I$1:$J$39,IF($K$3="Deutsch", 1, 2),FALSE)</f>
        <v>Bemerkung:</v>
      </c>
      <c r="H6" s="164"/>
      <c r="I6" s="164"/>
      <c r="J6" s="164"/>
      <c r="K6" s="164"/>
      <c r="L6" s="164"/>
      <c r="M6" s="164"/>
      <c r="N6" s="164"/>
    </row>
    <row r="7" spans="1:18" ht="15" x14ac:dyDescent="0.25">
      <c r="A7" s="264" t="s">
        <v>4</v>
      </c>
      <c r="B7" s="264"/>
      <c r="C7" s="264"/>
      <c r="D7" s="264"/>
      <c r="E7" s="264"/>
      <c r="F7" s="264"/>
      <c r="G7" s="225" t="str">
        <f>VLOOKUP(DATEN!I11,DATEN!$I$1:$J$39,IF($K$3="Deutsch", 1, 2),FALSE)</f>
        <v>Bemerkung:</v>
      </c>
      <c r="H7" s="225"/>
      <c r="I7" s="225"/>
      <c r="J7" s="225"/>
      <c r="K7" s="225"/>
      <c r="L7" s="225"/>
      <c r="M7" s="225"/>
      <c r="N7" s="225"/>
    </row>
    <row r="8" spans="1:18" ht="15" x14ac:dyDescent="0.25">
      <c r="A8" s="165" t="str">
        <f>VLOOKUP(DATEN!I6,DATEN!$I$1:$J$39,IF($K$3="Deutsch", 1, 2),FALSE)</f>
        <v>Strasse:</v>
      </c>
      <c r="B8" s="167"/>
      <c r="C8" s="11"/>
      <c r="D8" s="212">
        <f>'Bestellung Commande'!C8</f>
        <v>0</v>
      </c>
      <c r="E8" s="212"/>
      <c r="F8" s="212"/>
      <c r="G8" s="225"/>
      <c r="H8" s="225"/>
      <c r="I8" s="225"/>
      <c r="J8" s="225"/>
      <c r="K8" s="225"/>
      <c r="L8" s="225"/>
      <c r="M8" s="225"/>
      <c r="N8" s="225"/>
    </row>
    <row r="9" spans="1:18" ht="15" x14ac:dyDescent="0.25">
      <c r="A9" s="165" t="str">
        <f>VLOOKUP(DATEN!I7,DATEN!$I$1:$J$39,IF($K$3="Deutsch", 1, 2),FALSE)</f>
        <v>PLZ Ort:</v>
      </c>
      <c r="B9" s="167"/>
      <c r="C9" s="11"/>
      <c r="D9" s="212">
        <f>'Bestellung Commande'!C9</f>
        <v>0</v>
      </c>
      <c r="E9" s="212"/>
      <c r="F9" s="212"/>
      <c r="G9" s="225"/>
      <c r="H9" s="225"/>
      <c r="I9" s="225"/>
      <c r="J9" s="225"/>
      <c r="K9" s="225"/>
      <c r="L9" s="225"/>
      <c r="M9" s="225"/>
      <c r="N9" s="225"/>
    </row>
    <row r="10" spans="1:18" ht="15" customHeight="1" x14ac:dyDescent="0.25">
      <c r="A10" s="165" t="str">
        <f>VLOOKUP(DATEN!I8,DATEN!$I$1:$J$39,IF($K$3="Deutsch", 1, 2),FALSE)</f>
        <v>Kontakt:</v>
      </c>
      <c r="B10" s="167"/>
      <c r="C10" s="11"/>
      <c r="D10" s="212">
        <f>'Bestellung Commande'!C10</f>
        <v>0</v>
      </c>
      <c r="E10" s="212"/>
      <c r="F10" s="212"/>
      <c r="G10" s="262" t="str">
        <f>IF(VLOOKUP($A$17,'Bestellung Commande'!$A$27:$O$65,10,FALSE)&lt;&gt;"","Sonderbau!!!","")</f>
        <v/>
      </c>
      <c r="H10" s="262"/>
      <c r="I10" s="262"/>
      <c r="J10" s="262"/>
      <c r="K10" s="262"/>
      <c r="L10" s="262"/>
      <c r="M10" s="262"/>
      <c r="N10" s="262"/>
    </row>
    <row r="11" spans="1:18" ht="15" customHeight="1" x14ac:dyDescent="0.25">
      <c r="A11" s="264" t="s">
        <v>5</v>
      </c>
      <c r="B11" s="264"/>
      <c r="C11" s="264"/>
      <c r="D11" s="264"/>
      <c r="E11" s="264"/>
      <c r="F11" s="264"/>
      <c r="G11" s="262"/>
      <c r="H11" s="262"/>
      <c r="I11" s="262"/>
      <c r="J11" s="262"/>
      <c r="K11" s="262"/>
      <c r="L11" s="262"/>
      <c r="M11" s="262"/>
      <c r="N11" s="262"/>
    </row>
    <row r="12" spans="1:18" ht="15" customHeight="1" x14ac:dyDescent="0.4">
      <c r="A12" s="165" t="str">
        <f>VLOOKUP(DATEN!I6,DATEN!$I$1:$J$39,IF($K$3="Deutsch", 1, 2),FALSE)</f>
        <v>Strasse:</v>
      </c>
      <c r="B12" s="167"/>
      <c r="C12" s="11"/>
      <c r="D12" s="212">
        <f>'Bestellung Commande'!C12</f>
        <v>0</v>
      </c>
      <c r="E12" s="212"/>
      <c r="F12" s="212"/>
      <c r="G12" s="146"/>
      <c r="H12" s="146"/>
      <c r="I12" s="146"/>
      <c r="J12" s="146"/>
      <c r="K12" s="146"/>
      <c r="L12" s="146"/>
      <c r="M12" s="146"/>
      <c r="N12" s="146"/>
    </row>
    <row r="13" spans="1:18" ht="15" customHeight="1" x14ac:dyDescent="0.4">
      <c r="A13" s="165" t="str">
        <f>VLOOKUP(DATEN!I7,DATEN!$I$1:$J$39,IF($K$3="Deutsch", 1, 2),FALSE)</f>
        <v>PLZ Ort:</v>
      </c>
      <c r="B13" s="167"/>
      <c r="C13" s="11"/>
      <c r="D13" s="212">
        <f>'Bestellung Commande'!C13</f>
        <v>0</v>
      </c>
      <c r="E13" s="212"/>
      <c r="F13" s="212"/>
      <c r="G13" s="146"/>
      <c r="H13" s="146"/>
      <c r="I13" s="146"/>
      <c r="J13" s="146"/>
      <c r="K13" s="146"/>
      <c r="L13" s="146"/>
      <c r="M13" s="146"/>
      <c r="N13" s="146"/>
    </row>
    <row r="14" spans="1:18" ht="15" customHeight="1" x14ac:dyDescent="0.4">
      <c r="A14" s="165" t="str">
        <f>VLOOKUP(DATEN!I8,DATEN!$I$1:$J$39,IF($K$3="Deutsch", 1, 2),FALSE)</f>
        <v>Kontakt:</v>
      </c>
      <c r="B14" s="167"/>
      <c r="C14" s="11"/>
      <c r="D14" s="212">
        <f>'Bestellung Commande'!C14</f>
        <v>0</v>
      </c>
      <c r="E14" s="212"/>
      <c r="F14" s="212"/>
      <c r="G14" s="146"/>
      <c r="H14" s="146"/>
      <c r="I14" s="146"/>
      <c r="J14" s="146"/>
      <c r="K14" s="146"/>
      <c r="L14" s="146"/>
      <c r="M14" s="146"/>
      <c r="N14" s="146"/>
    </row>
    <row r="15" spans="1:18" ht="15.75" thickBot="1" x14ac:dyDescent="0.3">
      <c r="A15" s="140" t="str">
        <f>'Bestellung Commande'!A67</f>
        <v>V9.5</v>
      </c>
      <c r="B15" s="14"/>
      <c r="C15" s="14"/>
      <c r="D15" s="15"/>
      <c r="E15" s="15"/>
      <c r="F15" s="15"/>
      <c r="G15" s="13"/>
      <c r="H15" s="13"/>
      <c r="I15" s="13"/>
      <c r="J15" s="13"/>
      <c r="K15" s="13"/>
      <c r="L15" s="13"/>
      <c r="M15" s="16">
        <f>'Bestellung Commande'!N24</f>
        <v>73</v>
      </c>
      <c r="N15" s="13"/>
      <c r="O15" s="20" t="s">
        <v>220</v>
      </c>
      <c r="P15" s="9"/>
      <c r="Q15" s="9"/>
      <c r="R15" s="9"/>
    </row>
    <row r="16" spans="1:18" s="19" customFormat="1" ht="28.5" customHeight="1" x14ac:dyDescent="0.2">
      <c r="A16" s="17" t="s">
        <v>216</v>
      </c>
      <c r="B16" s="176" t="str">
        <f>VLOOKUP(DATEN!I14,DATEN!$I$1:$J$39,IF($K$3="Deutsch", 1, 2),FALSE)</f>
        <v>Anz.
Flügel</v>
      </c>
      <c r="C16" s="176"/>
      <c r="D16" s="17" t="str">
        <f>VLOOKUP(DATEN!I15,DATEN!$I$1:$J$39,IF($K$3="Deutsch", 1, 2),FALSE)</f>
        <v>Stk Schw.</v>
      </c>
      <c r="E16" s="17" t="str">
        <f>VLOOKUP(DATEN!I16,DATEN!$I$1:$J$39,IF($K$3="Deutsch", 1, 2),FALSE)</f>
        <v>RA</v>
      </c>
      <c r="F16" s="17" t="str">
        <f>VLOOKUP(DATEN!I17,DATEN!$I$1:$J$39,IF($K$3="Deutsch", 1, 2),FALSE)</f>
        <v>RBL 
(min45)</v>
      </c>
      <c r="G16" s="17" t="str">
        <f>VLOOKUP(DATEN!I18,DATEN!$I$1:$J$39,IF($K$3="Deutsch", 1, 2),FALSE)</f>
        <v>RBR 
(min45)</v>
      </c>
      <c r="H16" s="17"/>
      <c r="I16" s="184" t="str">
        <f>VLOOKUP(DATEN!I19,DATEN!$I$1:$J$39,IF($K$3="Deutsch", 1, 2),FALSE)</f>
        <v>Verbreiterungen</v>
      </c>
      <c r="J16" s="185"/>
      <c r="K16" s="185"/>
      <c r="L16" s="185"/>
      <c r="M16" s="18" t="str">
        <f>VLOOKUP(DATEN!I20,DATEN!$I$1:$J$39,IF($K$3="Deutsch",1,2),FALSE)</f>
        <v>Total</v>
      </c>
      <c r="N16" s="17"/>
      <c r="O16" s="20" t="str">
        <f>E25</f>
        <v>Profil</v>
      </c>
      <c r="P16" s="20" t="str">
        <f>A26</f>
        <v>Links</v>
      </c>
      <c r="Q16" s="20" t="str">
        <f>A27</f>
        <v>Rechts</v>
      </c>
      <c r="R16" s="20" t="str">
        <f>A28</f>
        <v>Mittelteil</v>
      </c>
    </row>
    <row r="17" spans="1:24" ht="15" thickBot="1" x14ac:dyDescent="0.25">
      <c r="A17" s="41">
        <v>4</v>
      </c>
      <c r="B17" s="268">
        <f>VLOOKUP($A$17,'Bestellung Commande'!$A$27:$O$65,3,FALSE)</f>
        <v>0</v>
      </c>
      <c r="C17" s="268"/>
      <c r="D17" s="41">
        <f>VLOOKUP($A$17,'Bestellung Commande'!$A$27:$O$65,5,FALSE)</f>
        <v>0</v>
      </c>
      <c r="E17" s="41">
        <f>VLOOKUP($A$17,'Bestellung Commande'!$A$27:$O$65,6,FALSE)</f>
        <v>0</v>
      </c>
      <c r="F17" s="41">
        <f>VLOOKUP($A$17,'Bestellung Commande'!$A$27:$O$65,7,FALSE)</f>
        <v>0</v>
      </c>
      <c r="G17" s="41">
        <f>VLOOKUP($A$17,'Bestellung Commande'!$A$27:$O$65,8,FALSE)</f>
        <v>0</v>
      </c>
      <c r="H17" s="41">
        <f>VLOOKUP($A$17,'Bestellung Commande'!$A$27:$O$65,9,FALSE)</f>
        <v>0</v>
      </c>
      <c r="I17" s="22">
        <f>VLOOKUP($A$17,'Bestellung Commande'!$A$27:$O$65,10,FALSE)</f>
        <v>0</v>
      </c>
      <c r="J17" s="23">
        <f>VLOOKUP($A$17,'Bestellung Commande'!$A$27:$O$65,11,FALSE)</f>
        <v>0</v>
      </c>
      <c r="K17" s="23">
        <f>VLOOKUP($A$17,'Bestellung Commande'!$A$27:$O$65,12,FALSE)</f>
        <v>0</v>
      </c>
      <c r="L17" s="23">
        <f>VLOOKUP($A$17,'Bestellung Commande'!$A$27:$O$65,13,FALSE)</f>
        <v>0</v>
      </c>
      <c r="M17" s="125">
        <f>VLOOKUP($A$17,'Bestellung Commande'!$A$27:$O$65,14,FALSE)</f>
        <v>0</v>
      </c>
      <c r="N17" s="24"/>
      <c r="O17" s="9" t="str">
        <f>F25</f>
        <v>C298927</v>
      </c>
      <c r="P17" s="29">
        <f>F26</f>
        <v>20</v>
      </c>
      <c r="Q17" s="29">
        <f>F27</f>
        <v>20</v>
      </c>
      <c r="R17" s="29">
        <f>F28</f>
        <v>-42</v>
      </c>
    </row>
    <row r="18" spans="1:24" x14ac:dyDescent="0.2">
      <c r="B18" s="41" cm="1">
        <f t="array" ref="B18">INDEX('Bestellung Commande'!$C$27:$C$66, MATCH($A$17, 'Bestellung Commande'!$A$27:$A$66, 0) + 1)</f>
        <v>0</v>
      </c>
      <c r="C18" s="41" cm="1">
        <f t="array" ref="C18">INDEX('Bestellung Commande'!$D$27:$D$66, MATCH($A$17, 'Bestellung Commande'!$A$27:$A$66, 0) + 1)</f>
        <v>0</v>
      </c>
    </row>
    <row r="20" spans="1:24" ht="15" x14ac:dyDescent="0.25">
      <c r="A20" s="267" t="s">
        <v>10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</row>
    <row r="21" spans="1:24" ht="15" x14ac:dyDescent="0.25">
      <c r="E21" s="25" t="s">
        <v>11</v>
      </c>
      <c r="F21" s="9" t="s">
        <v>12</v>
      </c>
      <c r="G21"/>
      <c r="H21"/>
      <c r="I21"/>
    </row>
    <row r="22" spans="1:24" x14ac:dyDescent="0.2">
      <c r="E22" t="s">
        <v>13</v>
      </c>
      <c r="F22" s="26">
        <f>E17</f>
        <v>0</v>
      </c>
      <c r="G22"/>
      <c r="H22"/>
      <c r="I22"/>
    </row>
    <row r="23" spans="1:24" x14ac:dyDescent="0.2">
      <c r="F23" s="9">
        <f>B17</f>
        <v>0</v>
      </c>
      <c r="G23"/>
      <c r="H23"/>
      <c r="I23"/>
    </row>
    <row r="24" spans="1:24" ht="15" x14ac:dyDescent="0.25">
      <c r="A24" s="267" t="s">
        <v>14</v>
      </c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</row>
    <row r="25" spans="1:24" ht="15" x14ac:dyDescent="0.25">
      <c r="E25" s="25" t="s">
        <v>11</v>
      </c>
      <c r="F25" s="9" t="s">
        <v>15</v>
      </c>
      <c r="G25"/>
      <c r="H25"/>
      <c r="I25"/>
    </row>
    <row r="26" spans="1:24" x14ac:dyDescent="0.2">
      <c r="A26" t="s">
        <v>16</v>
      </c>
      <c r="E26" t="s">
        <v>13</v>
      </c>
      <c r="F26" s="26">
        <f>F17+20</f>
        <v>20</v>
      </c>
      <c r="G26"/>
      <c r="H26"/>
      <c r="I26"/>
      <c r="W26" s="121" t="s">
        <v>208</v>
      </c>
      <c r="X26" s="122">
        <f>F37-F36</f>
        <v>-100</v>
      </c>
    </row>
    <row r="27" spans="1:24" x14ac:dyDescent="0.2">
      <c r="A27" t="s">
        <v>17</v>
      </c>
      <c r="E27" t="s">
        <v>13</v>
      </c>
      <c r="F27" s="26">
        <f>G17+20</f>
        <v>20</v>
      </c>
      <c r="G27"/>
      <c r="H27"/>
      <c r="I27"/>
      <c r="W27" t="s">
        <v>209</v>
      </c>
      <c r="X27">
        <f>[1]DATEN!D14</f>
        <v>300</v>
      </c>
    </row>
    <row r="28" spans="1:24" x14ac:dyDescent="0.2">
      <c r="A28" t="s">
        <v>18</v>
      </c>
      <c r="E28" t="s">
        <v>13</v>
      </c>
      <c r="F28" s="26">
        <f>(E17-(F26+F27))-2</f>
        <v>-42</v>
      </c>
      <c r="G28"/>
      <c r="H28"/>
      <c r="I28"/>
      <c r="P28" t="s">
        <v>293</v>
      </c>
      <c r="T28" t="s">
        <v>294</v>
      </c>
      <c r="W28" t="s">
        <v>210</v>
      </c>
      <c r="X28">
        <f>ROUNDUP(X26/X27,0)</f>
        <v>-1</v>
      </c>
    </row>
    <row r="29" spans="1:24" ht="15" x14ac:dyDescent="0.25">
      <c r="A29" s="267" t="s">
        <v>19</v>
      </c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7" t="str">
        <f t="shared" ref="O29:O39" si="0">IF(AND($F$32&gt;=Q29,$F$32&lt;R29),P29,"")</f>
        <v/>
      </c>
      <c r="P29" s="28" t="str">
        <f>" "</f>
        <v xml:space="preserve"> </v>
      </c>
      <c r="Q29" s="28">
        <v>-1000000</v>
      </c>
      <c r="R29" s="28">
        <v>0</v>
      </c>
      <c r="S29" s="27" t="str">
        <f t="shared" ref="S29:S39" si="1">IF(AND($G$32&gt;=U29,$G$32&lt;V29),T29,"")</f>
        <v/>
      </c>
      <c r="T29" s="28" t="str">
        <f t="shared" ref="T29:T30" si="2">P29</f>
        <v xml:space="preserve"> </v>
      </c>
      <c r="U29" s="28">
        <f t="shared" ref="U29:U30" si="3">Q29</f>
        <v>-1000000</v>
      </c>
      <c r="V29" s="28">
        <f t="shared" ref="V29:V30" si="4">R29</f>
        <v>0</v>
      </c>
      <c r="W29" t="s">
        <v>211</v>
      </c>
      <c r="X29">
        <f>X26/X28</f>
        <v>100</v>
      </c>
    </row>
    <row r="30" spans="1:24" ht="15" x14ac:dyDescent="0.25">
      <c r="F30" s="25" t="s">
        <v>293</v>
      </c>
      <c r="G30" s="25" t="s">
        <v>294</v>
      </c>
      <c r="H30"/>
      <c r="I30"/>
      <c r="K30"/>
      <c r="N30"/>
      <c r="O30" s="27" t="str">
        <f t="shared" si="0"/>
        <v/>
      </c>
      <c r="P30" s="28"/>
      <c r="Q30" s="28">
        <v>0.1</v>
      </c>
      <c r="R30" s="28">
        <v>247.9</v>
      </c>
      <c r="S30" s="27" t="str">
        <f t="shared" si="1"/>
        <v/>
      </c>
      <c r="T30" s="28">
        <f t="shared" si="2"/>
        <v>0</v>
      </c>
      <c r="U30" s="28">
        <f t="shared" si="3"/>
        <v>0.1</v>
      </c>
      <c r="V30" s="28">
        <f t="shared" si="4"/>
        <v>247.9</v>
      </c>
    </row>
    <row r="31" spans="1:24" x14ac:dyDescent="0.2">
      <c r="F31" s="9" t="str">
        <f>O29&amp;O31&amp;O32&amp;O33&amp;O34&amp;O35&amp;O36&amp;O37&amp;O38&amp;O39</f>
        <v/>
      </c>
      <c r="G31" s="9" t="str">
        <f>S29&amp;S31&amp;S32&amp;S33&amp;S34&amp;S35&amp;S36&amp;S37&amp;S38&amp;S39</f>
        <v/>
      </c>
      <c r="I31"/>
      <c r="O31" s="27" t="str">
        <f t="shared" si="0"/>
        <v/>
      </c>
      <c r="P31" s="28" t="str">
        <f>DATEN!M7</f>
        <v>C555366</v>
      </c>
      <c r="Q31" s="28">
        <f>DATEN!N7</f>
        <v>275</v>
      </c>
      <c r="R31" s="28">
        <f>DATEN!O7</f>
        <v>400</v>
      </c>
      <c r="S31" s="27" t="str">
        <f t="shared" si="1"/>
        <v/>
      </c>
      <c r="T31" s="28" t="str">
        <f>P31</f>
        <v>C555366</v>
      </c>
      <c r="U31" s="28">
        <f t="shared" ref="U31:V39" si="5">Q31</f>
        <v>275</v>
      </c>
      <c r="V31" s="28">
        <f t="shared" si="5"/>
        <v>400</v>
      </c>
      <c r="W31">
        <v>1</v>
      </c>
      <c r="X31" s="29">
        <f>F36</f>
        <v>50</v>
      </c>
    </row>
    <row r="32" spans="1:24" x14ac:dyDescent="0.2">
      <c r="A32" t="s">
        <v>13</v>
      </c>
      <c r="F32" s="26" t="b">
        <f>IF(AND(B17=1,B18=0),H17,IF(AND(B17=1,B18&gt;0),B18,IF(AND(B17=2,B18=0),(H17-20)/2,IF(AND(B17=2,B18&gt;0),B18))))</f>
        <v>0</v>
      </c>
      <c r="G32" s="26">
        <f>IF(B17=1,0,IF(AND(B17=2,C18=0),0,C18))</f>
        <v>0</v>
      </c>
      <c r="I32"/>
      <c r="O32" s="27" t="str">
        <f t="shared" si="0"/>
        <v/>
      </c>
      <c r="P32" s="28" t="str">
        <f>DATEN!M8</f>
        <v>C555367</v>
      </c>
      <c r="Q32" s="28">
        <f>DATEN!N8</f>
        <v>400</v>
      </c>
      <c r="R32" s="28">
        <f>DATEN!O8</f>
        <v>550</v>
      </c>
      <c r="S32" s="27" t="str">
        <f t="shared" si="1"/>
        <v/>
      </c>
      <c r="T32" s="28" t="str">
        <f t="shared" ref="T32:T39" si="6">P32</f>
        <v>C555367</v>
      </c>
      <c r="U32" s="28">
        <f t="shared" si="5"/>
        <v>400</v>
      </c>
      <c r="V32" s="28">
        <f t="shared" si="5"/>
        <v>550</v>
      </c>
      <c r="W32">
        <v>2</v>
      </c>
      <c r="X32" s="29">
        <f>ROUND(IF(W32-1&gt;$X$28,0,X31+$X$29),0)</f>
        <v>0</v>
      </c>
    </row>
    <row r="33" spans="1:24" x14ac:dyDescent="0.2">
      <c r="A33" t="s">
        <v>23</v>
      </c>
      <c r="F33" s="30">
        <f>IF(AND(B17=2,B18=0),B17,1)*D17</f>
        <v>0</v>
      </c>
      <c r="G33" s="30">
        <f>IF(G32&gt;0,1,0)*D17</f>
        <v>0</v>
      </c>
      <c r="I33"/>
      <c r="O33" s="27" t="str">
        <f t="shared" si="0"/>
        <v/>
      </c>
      <c r="P33" s="28" t="str">
        <f>DATEN!M9</f>
        <v>C555368</v>
      </c>
      <c r="Q33" s="28">
        <f>DATEN!N9</f>
        <v>550</v>
      </c>
      <c r="R33" s="28">
        <f>DATEN!O9</f>
        <v>700</v>
      </c>
      <c r="S33" s="27" t="str">
        <f t="shared" si="1"/>
        <v/>
      </c>
      <c r="T33" s="28" t="str">
        <f t="shared" si="6"/>
        <v>C555368</v>
      </c>
      <c r="U33" s="28">
        <f t="shared" si="5"/>
        <v>550</v>
      </c>
      <c r="V33" s="28">
        <f t="shared" si="5"/>
        <v>700</v>
      </c>
      <c r="W33">
        <v>3</v>
      </c>
      <c r="X33" s="29">
        <f t="shared" ref="X33:X40" si="7">ROUND(IF(W33-1&gt;$X$28,0,X32+$X$29),0)</f>
        <v>0</v>
      </c>
    </row>
    <row r="34" spans="1:24" ht="15" x14ac:dyDescent="0.25">
      <c r="A34" s="267" t="s">
        <v>25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7" t="str">
        <f>IF(AND($F$32&gt;=Q34,$F$32&lt;R34),P34,"")</f>
        <v/>
      </c>
      <c r="P34" s="28" t="str">
        <f>DATEN!M10</f>
        <v>C555369</v>
      </c>
      <c r="Q34" s="28">
        <f>DATEN!N10</f>
        <v>700</v>
      </c>
      <c r="R34" s="28">
        <f>DATEN!O10</f>
        <v>850</v>
      </c>
      <c r="S34" s="27" t="str">
        <f t="shared" si="1"/>
        <v/>
      </c>
      <c r="T34" s="28" t="str">
        <f t="shared" si="6"/>
        <v>C555369</v>
      </c>
      <c r="U34" s="28">
        <f t="shared" si="5"/>
        <v>700</v>
      </c>
      <c r="V34" s="28">
        <f t="shared" si="5"/>
        <v>850</v>
      </c>
      <c r="W34">
        <v>4</v>
      </c>
      <c r="X34" s="29">
        <f t="shared" si="7"/>
        <v>0</v>
      </c>
    </row>
    <row r="35" spans="1:24" ht="15" x14ac:dyDescent="0.25">
      <c r="A35" s="31" t="s">
        <v>27</v>
      </c>
      <c r="F35" s="9" t="s">
        <v>28</v>
      </c>
      <c r="G35" s="32" t="s">
        <v>29</v>
      </c>
      <c r="H35" s="32"/>
      <c r="I35"/>
      <c r="O35" s="27" t="str">
        <f t="shared" si="0"/>
        <v/>
      </c>
      <c r="P35" s="28" t="str">
        <f>DATEN!M11</f>
        <v>C555370</v>
      </c>
      <c r="Q35" s="28">
        <f>DATEN!N11</f>
        <v>850</v>
      </c>
      <c r="R35" s="28">
        <f>DATEN!O11</f>
        <v>1000</v>
      </c>
      <c r="S35" s="27" t="str">
        <f>IF(AND($G$32&gt;=U35,$G$32&lt;V35),T35,"")</f>
        <v/>
      </c>
      <c r="T35" s="28" t="str">
        <f t="shared" si="6"/>
        <v>C555370</v>
      </c>
      <c r="U35" s="28">
        <f t="shared" si="5"/>
        <v>850</v>
      </c>
      <c r="V35" s="28">
        <f t="shared" si="5"/>
        <v>1000</v>
      </c>
      <c r="W35">
        <v>5</v>
      </c>
      <c r="X35" s="29">
        <f t="shared" si="7"/>
        <v>0</v>
      </c>
    </row>
    <row r="36" spans="1:24" x14ac:dyDescent="0.2">
      <c r="A36" t="s">
        <v>31</v>
      </c>
      <c r="F36" s="26">
        <f>F17+50</f>
        <v>50</v>
      </c>
      <c r="G36"/>
      <c r="H36" t="s">
        <v>206</v>
      </c>
      <c r="I36"/>
      <c r="O36" s="27" t="str">
        <f t="shared" si="0"/>
        <v/>
      </c>
      <c r="P36" s="28" t="str">
        <f>DATEN!M12</f>
        <v>C555371</v>
      </c>
      <c r="Q36" s="28">
        <f>DATEN!N12</f>
        <v>1000</v>
      </c>
      <c r="R36" s="28">
        <f>DATEN!O12</f>
        <v>1150</v>
      </c>
      <c r="S36" s="27" t="str">
        <f t="shared" si="1"/>
        <v/>
      </c>
      <c r="T36" s="28" t="str">
        <f t="shared" si="6"/>
        <v>C555371</v>
      </c>
      <c r="U36" s="28">
        <f t="shared" si="5"/>
        <v>1000</v>
      </c>
      <c r="V36" s="28">
        <f t="shared" si="5"/>
        <v>1150</v>
      </c>
      <c r="W36">
        <v>6</v>
      </c>
      <c r="X36" s="29">
        <f t="shared" si="7"/>
        <v>0</v>
      </c>
    </row>
    <row r="37" spans="1:24" x14ac:dyDescent="0.2">
      <c r="A37" t="s">
        <v>33</v>
      </c>
      <c r="F37" s="26">
        <f>F17+H17-DATEN!$D$13</f>
        <v>-50</v>
      </c>
      <c r="H37" t="s">
        <v>36</v>
      </c>
      <c r="I37"/>
      <c r="J37" s="9">
        <f>X28+1</f>
        <v>0</v>
      </c>
      <c r="O37" s="27" t="str">
        <f t="shared" si="0"/>
        <v/>
      </c>
      <c r="P37" s="28" t="str">
        <f>DATEN!M13</f>
        <v>C555372</v>
      </c>
      <c r="Q37" s="28">
        <f>DATEN!N13</f>
        <v>1150</v>
      </c>
      <c r="R37" s="28">
        <f>DATEN!O13</f>
        <v>1300</v>
      </c>
      <c r="S37" s="27" t="str">
        <f t="shared" si="1"/>
        <v/>
      </c>
      <c r="T37" s="28" t="str">
        <f t="shared" si="6"/>
        <v>C555372</v>
      </c>
      <c r="U37" s="28">
        <f t="shared" si="5"/>
        <v>1150</v>
      </c>
      <c r="V37" s="28">
        <f t="shared" si="5"/>
        <v>1300</v>
      </c>
      <c r="W37">
        <v>7</v>
      </c>
      <c r="X37" s="29">
        <f t="shared" si="7"/>
        <v>0</v>
      </c>
    </row>
    <row r="38" spans="1:24" x14ac:dyDescent="0.2">
      <c r="A38" s="33" t="s">
        <v>35</v>
      </c>
      <c r="F38" s="123" t="str">
        <f>X31&amp;IF(X32="",""," / ")&amp;X32  &amp; IF(X33="",""," / ")&amp;X33&amp; IF(X34="",""," / ")&amp;X34&amp; IF(X35="",""," / ")&amp;X35&amp; IF(X36="",""," / ")&amp;X36&amp; IF(X37="",""," / ")&amp;X37&amp; IF(X38="",""," / ")&amp;X38&amp; IF(X39="",""," / ")&amp;X39&amp; IF(X40="",""," / ")&amp;X40</f>
        <v>50 / 0 / 0 / 0 / 0 / 0 / 0 / 0 / 0 / 0</v>
      </c>
      <c r="O38" s="27" t="str">
        <f t="shared" si="0"/>
        <v/>
      </c>
      <c r="P38" s="28" t="str">
        <f>DATEN!M14</f>
        <v>C555373</v>
      </c>
      <c r="Q38" s="28">
        <f>DATEN!N14</f>
        <v>1300</v>
      </c>
      <c r="R38" s="28">
        <f>DATEN!O14</f>
        <v>1450</v>
      </c>
      <c r="S38" s="27" t="str">
        <f t="shared" si="1"/>
        <v/>
      </c>
      <c r="T38" s="28" t="str">
        <f t="shared" si="6"/>
        <v>C555373</v>
      </c>
      <c r="U38" s="28">
        <f t="shared" si="5"/>
        <v>1300</v>
      </c>
      <c r="V38" s="28">
        <f t="shared" si="5"/>
        <v>1450</v>
      </c>
      <c r="W38">
        <v>8</v>
      </c>
      <c r="X38" s="29">
        <f t="shared" si="7"/>
        <v>0</v>
      </c>
    </row>
    <row r="39" spans="1:24" x14ac:dyDescent="0.2">
      <c r="F39" s="9"/>
      <c r="G39"/>
      <c r="H39"/>
      <c r="I39"/>
      <c r="O39" s="27" t="str">
        <f t="shared" si="0"/>
        <v/>
      </c>
      <c r="P39" s="28" t="str">
        <f>DATEN!M15</f>
        <v>Zu Lang</v>
      </c>
      <c r="Q39" s="28">
        <f>DATEN!N15</f>
        <v>1450.1</v>
      </c>
      <c r="R39" s="28">
        <f>DATEN!O15</f>
        <v>1000000</v>
      </c>
      <c r="S39" s="27" t="str">
        <f t="shared" si="1"/>
        <v/>
      </c>
      <c r="T39" s="28" t="str">
        <f t="shared" si="6"/>
        <v>Zu Lang</v>
      </c>
      <c r="U39" s="28">
        <f t="shared" si="5"/>
        <v>1450.1</v>
      </c>
      <c r="V39" s="28">
        <f t="shared" si="5"/>
        <v>1000000</v>
      </c>
      <c r="W39">
        <v>9</v>
      </c>
      <c r="X39" s="29">
        <f t="shared" si="7"/>
        <v>0</v>
      </c>
    </row>
    <row r="40" spans="1:24" ht="15" x14ac:dyDescent="0.25">
      <c r="A40" s="267" t="s">
        <v>39</v>
      </c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W40">
        <v>10</v>
      </c>
      <c r="X40" s="29">
        <f t="shared" si="7"/>
        <v>0</v>
      </c>
    </row>
    <row r="41" spans="1:24" x14ac:dyDescent="0.2">
      <c r="A41" t="s">
        <v>41</v>
      </c>
      <c r="F41" s="26">
        <f>G17-15</f>
        <v>-15</v>
      </c>
      <c r="G41"/>
      <c r="H41"/>
      <c r="I41"/>
    </row>
    <row r="42" spans="1:24" x14ac:dyDescent="0.2">
      <c r="A42" t="s">
        <v>42</v>
      </c>
      <c r="F42" s="26">
        <f>E17-G17+15</f>
        <v>15</v>
      </c>
      <c r="G42"/>
      <c r="H42"/>
      <c r="I42"/>
    </row>
    <row r="43" spans="1:24" x14ac:dyDescent="0.2">
      <c r="A43" t="s">
        <v>43</v>
      </c>
      <c r="F43" s="26">
        <f>G17-35</f>
        <v>-35</v>
      </c>
      <c r="G43"/>
      <c r="H43"/>
      <c r="I43"/>
    </row>
    <row r="44" spans="1:24" x14ac:dyDescent="0.2">
      <c r="A44" t="s">
        <v>44</v>
      </c>
      <c r="F44" s="26">
        <f>E17-G17+35</f>
        <v>35</v>
      </c>
      <c r="G44"/>
      <c r="H44"/>
      <c r="I44"/>
    </row>
    <row r="45" spans="1:24" x14ac:dyDescent="0.2">
      <c r="A45" t="s">
        <v>45</v>
      </c>
      <c r="F45" s="26">
        <f>F17-23</f>
        <v>-23</v>
      </c>
      <c r="G45"/>
      <c r="H45"/>
      <c r="I45"/>
    </row>
    <row r="46" spans="1:24" x14ac:dyDescent="0.2">
      <c r="A46" t="s">
        <v>46</v>
      </c>
      <c r="F46" s="26">
        <f>E17-G17+23</f>
        <v>23</v>
      </c>
      <c r="G46"/>
      <c r="H46"/>
      <c r="I46"/>
    </row>
    <row r="47" spans="1:24" x14ac:dyDescent="0.2">
      <c r="F47" s="9"/>
      <c r="G47"/>
      <c r="H47"/>
      <c r="I47"/>
      <c r="P47" s="9"/>
    </row>
    <row r="48" spans="1:24" ht="15" x14ac:dyDescent="0.25">
      <c r="A48" s="34" t="s">
        <v>47</v>
      </c>
      <c r="B48" s="35"/>
      <c r="C48" s="35"/>
      <c r="D48" s="35"/>
      <c r="E48" s="35"/>
      <c r="F48" s="35" t="s">
        <v>48</v>
      </c>
      <c r="G48" s="35"/>
      <c r="H48" s="35"/>
      <c r="I48" s="35"/>
      <c r="J48" s="35"/>
      <c r="K48" s="35"/>
      <c r="L48" s="35"/>
    </row>
    <row r="49" spans="1:14" x14ac:dyDescent="0.2">
      <c r="A49" t="s">
        <v>49</v>
      </c>
      <c r="F49" s="26">
        <v>25</v>
      </c>
      <c r="G49"/>
      <c r="H49"/>
      <c r="I49"/>
    </row>
    <row r="50" spans="1:14" x14ac:dyDescent="0.2">
      <c r="A50" t="s">
        <v>33</v>
      </c>
      <c r="F50" s="26">
        <f>F28-25</f>
        <v>-67</v>
      </c>
      <c r="G50"/>
      <c r="H50"/>
      <c r="I50"/>
    </row>
    <row r="51" spans="1:14" x14ac:dyDescent="0.2">
      <c r="A51" s="33" t="s">
        <v>35</v>
      </c>
      <c r="F51" s="36" t="s">
        <v>50</v>
      </c>
      <c r="G51"/>
      <c r="H51"/>
      <c r="I51" t="s">
        <v>36</v>
      </c>
    </row>
    <row r="52" spans="1:14" x14ac:dyDescent="0.2">
      <c r="F52" s="129" t="str">
        <f>IF(B17=2,"Achtung!! 2 Flüglig!! Mittleres Loch auslassen","")</f>
        <v/>
      </c>
      <c r="G52"/>
      <c r="H52"/>
      <c r="I52"/>
    </row>
    <row r="53" spans="1:14" ht="15" x14ac:dyDescent="0.25">
      <c r="A53" s="267" t="s">
        <v>51</v>
      </c>
      <c r="B53" s="267"/>
      <c r="C53" s="267"/>
      <c r="D53" s="267"/>
      <c r="E53" s="267"/>
      <c r="F53" s="267"/>
      <c r="G53" s="267"/>
      <c r="H53" s="267"/>
      <c r="I53" s="267"/>
      <c r="J53" s="267"/>
      <c r="K53" s="267"/>
      <c r="L53" s="267"/>
    </row>
    <row r="54" spans="1:14" x14ac:dyDescent="0.2">
      <c r="A54" s="35" t="s">
        <v>52</v>
      </c>
      <c r="B54" s="37" t="s">
        <v>53</v>
      </c>
      <c r="C54" s="37"/>
      <c r="D54" s="206" t="s">
        <v>54</v>
      </c>
      <c r="E54" s="206"/>
      <c r="F54" s="35" t="s">
        <v>55</v>
      </c>
      <c r="G54" s="35"/>
      <c r="H54" s="35"/>
      <c r="I54" s="35"/>
      <c r="J54" s="35"/>
      <c r="K54" s="266" t="s">
        <v>13</v>
      </c>
      <c r="L54" s="266"/>
    </row>
    <row r="55" spans="1:14" x14ac:dyDescent="0.2">
      <c r="A55" s="12">
        <v>1</v>
      </c>
      <c r="B55" s="9">
        <f>VLOOKUP(A17,'Bestellung Commande'!A27:O65,11,FALSE)</f>
        <v>0</v>
      </c>
      <c r="C55" s="9"/>
      <c r="D55" s="252">
        <f>IF(ISERROR(VLOOKUP($B55,DATEN!$A$3:$D$10,2,FALSE)),"",VLOOKUP($B55,DATEN!$A$3:$D$10,2,FALSE))</f>
        <v>0</v>
      </c>
      <c r="E55" s="252"/>
      <c r="F55" s="12">
        <f>IF(ISERROR(VLOOKUP($B55,DATEN!$A$3:$D$10,3,FALSE)),"",VLOOKUP($B55,DATEN!$A$3:$D$10,3,FALSE))</f>
        <v>0</v>
      </c>
      <c r="G55"/>
      <c r="H55"/>
      <c r="K55" s="265">
        <f>$F$22</f>
        <v>0</v>
      </c>
      <c r="L55" s="265"/>
    </row>
    <row r="56" spans="1:14" x14ac:dyDescent="0.2">
      <c r="A56" s="12">
        <v>2</v>
      </c>
      <c r="B56" s="9">
        <f>VLOOKUP(A17,'Bestellung Commande'!A27:O65,12,FALSE)</f>
        <v>0</v>
      </c>
      <c r="C56" s="9"/>
      <c r="D56" s="252">
        <f>IF(ISERROR(VLOOKUP($B56,DATEN!$A$3:$D$10,2,FALSE)),"",VLOOKUP($B56,DATEN!$A$3:$D$10,2,FALSE))</f>
        <v>0</v>
      </c>
      <c r="E56" s="252"/>
      <c r="F56" s="9">
        <f>IF(ISERROR(VLOOKUP($B56,DATEN!$A$3:$D$10,3,FALSE)),"",VLOOKUP($B56,DATEN!$A$3:$D$10,3,FALSE))</f>
        <v>0</v>
      </c>
      <c r="G56"/>
      <c r="H56"/>
      <c r="K56" s="265">
        <f t="shared" ref="K56:K58" si="8">$F$22</f>
        <v>0</v>
      </c>
      <c r="L56" s="265"/>
    </row>
    <row r="57" spans="1:14" x14ac:dyDescent="0.2">
      <c r="A57" s="12">
        <v>3</v>
      </c>
      <c r="B57" s="9">
        <f>VLOOKUP(A17,'Bestellung Commande'!A27:O65,13,FALSE)</f>
        <v>0</v>
      </c>
      <c r="C57" s="9"/>
      <c r="D57" s="252">
        <f>IF(ISERROR(VLOOKUP($B57,DATEN!$A$3:$D$10,2,FALSE)),"",VLOOKUP($B57,DATEN!$A$3:$D$10,2,FALSE))</f>
        <v>0</v>
      </c>
      <c r="E57" s="252"/>
      <c r="F57" s="9">
        <f>IF(ISERROR(VLOOKUP($B57,DATEN!$A$3:$D$10,3,FALSE)),"",VLOOKUP($B57,DATEN!$A$3:$D$10,3,FALSE))</f>
        <v>0</v>
      </c>
      <c r="K57" s="265">
        <f t="shared" si="8"/>
        <v>0</v>
      </c>
      <c r="L57" s="265"/>
    </row>
    <row r="58" spans="1:14" x14ac:dyDescent="0.2">
      <c r="A58" s="12">
        <v>4</v>
      </c>
      <c r="B58" s="9">
        <f>VLOOKUP(A17,'Bestellung Commande'!A27:O65,14,FALSE)</f>
        <v>0</v>
      </c>
      <c r="C58" s="9"/>
      <c r="D58" s="252">
        <f>IF(ISERROR(VLOOKUP($B58,DATEN!$A$3:$D$10,2,FALSE)),"",VLOOKUP($B58,DATEN!$A$3:$D$10,2,FALSE))</f>
        <v>0</v>
      </c>
      <c r="E58" s="252"/>
      <c r="F58" s="9">
        <f>IF(ISERROR(VLOOKUP($B58,DATEN!$A$3:$D$10,3,FALSE)),"",VLOOKUP($B58,DATEN!$A$3:$D$10,3,FALSE))</f>
        <v>0</v>
      </c>
      <c r="K58" s="265">
        <f t="shared" si="8"/>
        <v>0</v>
      </c>
      <c r="L58" s="265"/>
      <c r="N58" s="46">
        <f>'Bestellung Commande'!B44</f>
        <v>0</v>
      </c>
    </row>
  </sheetData>
  <sheetProtection algorithmName="SHA-512" hashValue="v15UMPJ1/8JPHyLzEZbnXXP/9m/whPSQnZk2X8hTpBpQN5cMf0yJsB0iZnjXKw+0mf1Q0AF9RSJSzgmF0uOrFw==" saltValue="IK4jb8oljV9zGBF5MwGBqQ==" spinCount="100000" sheet="1" objects="1" scenarios="1"/>
  <mergeCells count="52">
    <mergeCell ref="D57:E57"/>
    <mergeCell ref="K57:L57"/>
    <mergeCell ref="D58:E58"/>
    <mergeCell ref="K58:L58"/>
    <mergeCell ref="A53:L53"/>
    <mergeCell ref="D54:E54"/>
    <mergeCell ref="K54:L54"/>
    <mergeCell ref="D55:E55"/>
    <mergeCell ref="K55:L55"/>
    <mergeCell ref="D56:E56"/>
    <mergeCell ref="K56:L56"/>
    <mergeCell ref="A40:L40"/>
    <mergeCell ref="A13:B13"/>
    <mergeCell ref="D13:F13"/>
    <mergeCell ref="A14:B14"/>
    <mergeCell ref="D14:F14"/>
    <mergeCell ref="B16:C16"/>
    <mergeCell ref="I16:L16"/>
    <mergeCell ref="B17:C17"/>
    <mergeCell ref="A20:N20"/>
    <mergeCell ref="A24:N24"/>
    <mergeCell ref="A29:N29"/>
    <mergeCell ref="A34:N34"/>
    <mergeCell ref="A10:B10"/>
    <mergeCell ref="D10:F10"/>
    <mergeCell ref="G10:N11"/>
    <mergeCell ref="A11:F11"/>
    <mergeCell ref="A12:B12"/>
    <mergeCell ref="D12:F12"/>
    <mergeCell ref="A6:B6"/>
    <mergeCell ref="D6:F6"/>
    <mergeCell ref="G6:N6"/>
    <mergeCell ref="A7:F7"/>
    <mergeCell ref="G7:N9"/>
    <mergeCell ref="A8:B8"/>
    <mergeCell ref="D8:F8"/>
    <mergeCell ref="A9:B9"/>
    <mergeCell ref="D9:F9"/>
    <mergeCell ref="D4:F4"/>
    <mergeCell ref="G4:J4"/>
    <mergeCell ref="K4:N4"/>
    <mergeCell ref="A5:B5"/>
    <mergeCell ref="D5:F5"/>
    <mergeCell ref="G5:J5"/>
    <mergeCell ref="K5:N5"/>
    <mergeCell ref="A1:N1"/>
    <mergeCell ref="A2:F2"/>
    <mergeCell ref="G2:N2"/>
    <mergeCell ref="A3:B3"/>
    <mergeCell ref="D3:F3"/>
    <mergeCell ref="G3:J3"/>
    <mergeCell ref="K3:N3"/>
  </mergeCells>
  <printOptions horizontalCentered="1"/>
  <pageMargins left="0.27" right="0.31" top="0.74803149606299213" bottom="0.74803149606299213" header="0.31496062992125984" footer="0.31496062992125984"/>
  <pageSetup paperSize="9" scale="87" orientation="portrait" r:id="rId1"/>
  <headerFooter>
    <oddHeader>&amp;R&amp;G</oddHeader>
    <oddFooter>&amp;LDuckdatum: &amp;D
&amp;F&amp;R&amp;P/&amp;N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45507E1-A67A-4A91-9C65-2FB4ABDFC765}">
          <x14:formula1>
            <xm:f>DATEN!$I$1:$J$1</xm:f>
          </x14:formula1>
          <xm:sqref>K3:N3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52F47-19D1-413E-840F-EAC8B1F493F0}">
  <sheetPr codeName="Tabelle6"/>
  <dimension ref="A1:X58"/>
  <sheetViews>
    <sheetView view="pageBreakPreview" topLeftCell="A3" zoomScaleNormal="120" zoomScaleSheetLayoutView="100" workbookViewId="0">
      <selection activeCell="A12" sqref="A12:B12"/>
    </sheetView>
  </sheetViews>
  <sheetFormatPr baseColWidth="10" defaultColWidth="11" defaultRowHeight="14.25" x14ac:dyDescent="0.2"/>
  <cols>
    <col min="1" max="3" width="8.875" customWidth="1"/>
    <col min="4" max="5" width="6.5" customWidth="1"/>
    <col min="6" max="6" width="10.625" customWidth="1"/>
    <col min="7" max="7" width="8.75" style="9" customWidth="1"/>
    <col min="8" max="8" width="8.875" style="9" customWidth="1"/>
    <col min="9" max="9" width="4.875" style="9" customWidth="1"/>
    <col min="10" max="10" width="8.75" customWidth="1"/>
    <col min="11" max="11" width="4.5" style="9" customWidth="1"/>
    <col min="12" max="13" width="4.5" customWidth="1"/>
    <col min="14" max="14" width="4.5" style="9" customWidth="1"/>
  </cols>
  <sheetData>
    <row r="1" spans="1:18" ht="23.25" x14ac:dyDescent="0.2">
      <c r="A1" s="238" t="s">
        <v>9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1:18" ht="15" x14ac:dyDescent="0.25">
      <c r="A2" s="253" t="s">
        <v>0</v>
      </c>
      <c r="B2" s="254"/>
      <c r="C2" s="254"/>
      <c r="D2" s="254"/>
      <c r="E2" s="254"/>
      <c r="F2" s="255"/>
      <c r="G2" s="161" t="s">
        <v>1</v>
      </c>
      <c r="H2" s="162"/>
      <c r="I2" s="162"/>
      <c r="J2" s="162"/>
      <c r="K2" s="162"/>
      <c r="L2" s="162"/>
      <c r="M2" s="162"/>
      <c r="N2" s="162"/>
    </row>
    <row r="3" spans="1:18" ht="15" x14ac:dyDescent="0.25">
      <c r="A3" s="165" t="str">
        <f>VLOOKUP(DATEN!I2,DATEN!$I$1:$J$39,IF($K$3="Deutsch", 1, 2),FALSE)</f>
        <v>Kunde Name:</v>
      </c>
      <c r="B3" s="167"/>
      <c r="C3" s="11"/>
      <c r="D3" s="212">
        <f>'Bestellung Commande'!C2</f>
        <v>0</v>
      </c>
      <c r="E3" s="212"/>
      <c r="F3" s="212"/>
      <c r="G3" s="256" t="s">
        <v>2</v>
      </c>
      <c r="H3" s="257"/>
      <c r="I3" s="257"/>
      <c r="J3" s="258"/>
      <c r="K3" s="259" t="s">
        <v>3</v>
      </c>
      <c r="L3" s="260"/>
      <c r="M3" s="260"/>
      <c r="N3" s="261"/>
    </row>
    <row r="4" spans="1:18" ht="15" x14ac:dyDescent="0.25">
      <c r="A4" s="10" t="str">
        <f>VLOOKUP(DATEN!I3,DATEN!$I$1:$J$39,IF($K$3="Deutsch", 1, 2),FALSE)</f>
        <v>Kontaktperson:</v>
      </c>
      <c r="B4" s="11"/>
      <c r="C4" s="11"/>
      <c r="D4" s="212">
        <f>'Bestellung Commande'!C3</f>
        <v>0</v>
      </c>
      <c r="E4" s="212"/>
      <c r="F4" s="212"/>
      <c r="G4" s="256" t="str">
        <f>VLOOKUP(DATEN!I9,DATEN!$I$1:$J$39,IF($K$3="Deutsch", 1, 2),FALSE)</f>
        <v>Bestelldatum:</v>
      </c>
      <c r="H4" s="257"/>
      <c r="I4" s="257"/>
      <c r="J4" s="258"/>
      <c r="K4" s="263">
        <f>'Bestellung Commande'!L3</f>
        <v>0</v>
      </c>
      <c r="L4" s="260"/>
      <c r="M4" s="260"/>
      <c r="N4" s="261"/>
    </row>
    <row r="5" spans="1:18" ht="15" x14ac:dyDescent="0.25">
      <c r="A5" s="165" t="str">
        <f>VLOOKUP(DATEN!I4,DATEN!$I$1:$J$39,IF($K$3="Deutsch", 1, 2),FALSE)</f>
        <v>Kommision:</v>
      </c>
      <c r="B5" s="167"/>
      <c r="C5" s="11"/>
      <c r="D5" s="212">
        <f>'Bestellung Commande'!C4</f>
        <v>0</v>
      </c>
      <c r="E5" s="212"/>
      <c r="F5" s="212"/>
      <c r="G5" s="256" t="str">
        <f>VLOOKUP(DATEN!I10,DATEN!$I$1:$J$39,IF($K$3="Deutsch", 1, 2),FALSE)</f>
        <v>Wunsch Liefertermin:</v>
      </c>
      <c r="H5" s="257"/>
      <c r="I5" s="257"/>
      <c r="J5" s="258"/>
      <c r="K5" s="263">
        <f>'Bestellung Commande'!L4</f>
        <v>0</v>
      </c>
      <c r="L5" s="260"/>
      <c r="M5" s="260"/>
      <c r="N5" s="261"/>
    </row>
    <row r="6" spans="1:18" ht="15" x14ac:dyDescent="0.25">
      <c r="A6" s="165" t="str">
        <f>VLOOKUP(DATEN!I5,DATEN!$I$1:$J$39,IF($K$3="Deutsch", 1, 2),FALSE)</f>
        <v>Kontakt Telefon:</v>
      </c>
      <c r="B6" s="167"/>
      <c r="C6" s="11"/>
      <c r="D6" s="212">
        <f>'Bestellung Commande'!C5</f>
        <v>0</v>
      </c>
      <c r="E6" s="212"/>
      <c r="F6" s="212"/>
      <c r="G6" s="163" t="str">
        <f>VLOOKUP(DATEN!I11,DATEN!$I$1:$J$39,IF($K$3="Deutsch", 1, 2),FALSE)</f>
        <v>Bemerkung:</v>
      </c>
      <c r="H6" s="164"/>
      <c r="I6" s="164"/>
      <c r="J6" s="164"/>
      <c r="K6" s="164"/>
      <c r="L6" s="164"/>
      <c r="M6" s="164"/>
      <c r="N6" s="164"/>
    </row>
    <row r="7" spans="1:18" ht="15" x14ac:dyDescent="0.25">
      <c r="A7" s="264" t="s">
        <v>4</v>
      </c>
      <c r="B7" s="264"/>
      <c r="C7" s="264"/>
      <c r="D7" s="264"/>
      <c r="E7" s="264"/>
      <c r="F7" s="264"/>
      <c r="G7" s="225" t="str">
        <f>VLOOKUP(DATEN!I11,DATEN!$I$1:$J$39,IF($K$3="Deutsch", 1, 2),FALSE)</f>
        <v>Bemerkung:</v>
      </c>
      <c r="H7" s="225"/>
      <c r="I7" s="225"/>
      <c r="J7" s="225"/>
      <c r="K7" s="225"/>
      <c r="L7" s="225"/>
      <c r="M7" s="225"/>
      <c r="N7" s="225"/>
    </row>
    <row r="8" spans="1:18" ht="15" x14ac:dyDescent="0.25">
      <c r="A8" s="165" t="str">
        <f>VLOOKUP(DATEN!I6,DATEN!$I$1:$J$39,IF($K$3="Deutsch", 1, 2),FALSE)</f>
        <v>Strasse:</v>
      </c>
      <c r="B8" s="167"/>
      <c r="C8" s="11"/>
      <c r="D8" s="212">
        <f>'Bestellung Commande'!C8</f>
        <v>0</v>
      </c>
      <c r="E8" s="212"/>
      <c r="F8" s="212"/>
      <c r="G8" s="225"/>
      <c r="H8" s="225"/>
      <c r="I8" s="225"/>
      <c r="J8" s="225"/>
      <c r="K8" s="225"/>
      <c r="L8" s="225"/>
      <c r="M8" s="225"/>
      <c r="N8" s="225"/>
    </row>
    <row r="9" spans="1:18" ht="15" x14ac:dyDescent="0.25">
      <c r="A9" s="165" t="str">
        <f>VLOOKUP(DATEN!I7,DATEN!$I$1:$J$39,IF($K$3="Deutsch", 1, 2),FALSE)</f>
        <v>PLZ Ort:</v>
      </c>
      <c r="B9" s="167"/>
      <c r="C9" s="11"/>
      <c r="D9" s="212">
        <f>'Bestellung Commande'!C9</f>
        <v>0</v>
      </c>
      <c r="E9" s="212"/>
      <c r="F9" s="212"/>
      <c r="G9" s="225"/>
      <c r="H9" s="225"/>
      <c r="I9" s="225"/>
      <c r="J9" s="225"/>
      <c r="K9" s="225"/>
      <c r="L9" s="225"/>
      <c r="M9" s="225"/>
      <c r="N9" s="225"/>
    </row>
    <row r="10" spans="1:18" ht="15" customHeight="1" x14ac:dyDescent="0.25">
      <c r="A10" s="165" t="str">
        <f>VLOOKUP(DATEN!I8,DATEN!$I$1:$J$39,IF($K$3="Deutsch", 1, 2),FALSE)</f>
        <v>Kontakt:</v>
      </c>
      <c r="B10" s="167"/>
      <c r="C10" s="11"/>
      <c r="D10" s="212">
        <f>'Bestellung Commande'!C10</f>
        <v>0</v>
      </c>
      <c r="E10" s="212"/>
      <c r="F10" s="212"/>
      <c r="G10" s="262" t="str">
        <f>IF(VLOOKUP($A$17,'Bestellung Commande'!$A$27:$O$65,10,FALSE)&lt;&gt;"","Sonderbau!!!","")</f>
        <v/>
      </c>
      <c r="H10" s="262"/>
      <c r="I10" s="262"/>
      <c r="J10" s="262"/>
      <c r="K10" s="262"/>
      <c r="L10" s="262"/>
      <c r="M10" s="262"/>
      <c r="N10" s="262"/>
    </row>
    <row r="11" spans="1:18" ht="15" customHeight="1" x14ac:dyDescent="0.25">
      <c r="A11" s="264" t="s">
        <v>5</v>
      </c>
      <c r="B11" s="264"/>
      <c r="C11" s="264"/>
      <c r="D11" s="264"/>
      <c r="E11" s="264"/>
      <c r="F11" s="264"/>
      <c r="G11" s="262"/>
      <c r="H11" s="262"/>
      <c r="I11" s="262"/>
      <c r="J11" s="262"/>
      <c r="K11" s="262"/>
      <c r="L11" s="262"/>
      <c r="M11" s="262"/>
      <c r="N11" s="262"/>
    </row>
    <row r="12" spans="1:18" ht="15" customHeight="1" x14ac:dyDescent="0.4">
      <c r="A12" s="165" t="str">
        <f>VLOOKUP(DATEN!I6,DATEN!$I$1:$J$39,IF($K$3="Deutsch", 1, 2),FALSE)</f>
        <v>Strasse:</v>
      </c>
      <c r="B12" s="167"/>
      <c r="C12" s="11"/>
      <c r="D12" s="212">
        <f>'Bestellung Commande'!C12</f>
        <v>0</v>
      </c>
      <c r="E12" s="212"/>
      <c r="F12" s="212"/>
      <c r="G12" s="146"/>
      <c r="H12" s="146"/>
      <c r="I12" s="146"/>
      <c r="J12" s="146"/>
      <c r="K12" s="146"/>
      <c r="L12" s="146"/>
      <c r="M12" s="146"/>
      <c r="N12" s="146"/>
    </row>
    <row r="13" spans="1:18" ht="15" customHeight="1" x14ac:dyDescent="0.4">
      <c r="A13" s="165" t="str">
        <f>VLOOKUP(DATEN!I7,DATEN!$I$1:$J$39,IF($K$3="Deutsch", 1, 2),FALSE)</f>
        <v>PLZ Ort:</v>
      </c>
      <c r="B13" s="167"/>
      <c r="C13" s="11"/>
      <c r="D13" s="212">
        <f>'Bestellung Commande'!C13</f>
        <v>0</v>
      </c>
      <c r="E13" s="212"/>
      <c r="F13" s="212"/>
      <c r="G13" s="146"/>
      <c r="H13" s="146"/>
      <c r="I13" s="146"/>
      <c r="J13" s="146"/>
      <c r="K13" s="146"/>
      <c r="L13" s="146"/>
      <c r="M13" s="146"/>
      <c r="N13" s="146"/>
    </row>
    <row r="14" spans="1:18" ht="15" customHeight="1" x14ac:dyDescent="0.4">
      <c r="A14" s="165" t="str">
        <f>VLOOKUP(DATEN!I8,DATEN!$I$1:$J$39,IF($K$3="Deutsch", 1, 2),FALSE)</f>
        <v>Kontakt:</v>
      </c>
      <c r="B14" s="167"/>
      <c r="C14" s="11"/>
      <c r="D14" s="212">
        <f>'Bestellung Commande'!C14</f>
        <v>0</v>
      </c>
      <c r="E14" s="212"/>
      <c r="F14" s="212"/>
      <c r="G14" s="146"/>
      <c r="H14" s="146"/>
      <c r="I14" s="146"/>
      <c r="J14" s="146"/>
      <c r="K14" s="146"/>
      <c r="L14" s="146"/>
      <c r="M14" s="146"/>
      <c r="N14" s="146"/>
    </row>
    <row r="15" spans="1:18" ht="15.75" thickBot="1" x14ac:dyDescent="0.3">
      <c r="A15" s="140" t="str">
        <f>'Bestellung Commande'!A67</f>
        <v>V9.5</v>
      </c>
      <c r="B15" s="14"/>
      <c r="C15" s="14"/>
      <c r="D15" s="15"/>
      <c r="E15" s="15"/>
      <c r="F15" s="15"/>
      <c r="G15" s="13"/>
      <c r="H15" s="13"/>
      <c r="I15" s="13"/>
      <c r="J15" s="13"/>
      <c r="K15" s="13"/>
      <c r="L15" s="13"/>
      <c r="M15" s="16">
        <f>'Bestellung Commande'!N24</f>
        <v>73</v>
      </c>
      <c r="N15" s="13"/>
      <c r="O15" s="20" t="s">
        <v>220</v>
      </c>
      <c r="P15" s="9"/>
      <c r="Q15" s="9"/>
      <c r="R15" s="9"/>
    </row>
    <row r="16" spans="1:18" s="19" customFormat="1" ht="28.5" customHeight="1" x14ac:dyDescent="0.2">
      <c r="A16" s="17" t="s">
        <v>216</v>
      </c>
      <c r="B16" s="176" t="str">
        <f>VLOOKUP(DATEN!I14,DATEN!$I$1:$J$39,IF($K$3="Deutsch", 1, 2),FALSE)</f>
        <v>Anz.
Flügel</v>
      </c>
      <c r="C16" s="176"/>
      <c r="D16" s="17" t="str">
        <f>VLOOKUP(DATEN!I15,DATEN!$I$1:$J$39,IF($K$3="Deutsch", 1, 2),FALSE)</f>
        <v>Stk Schw.</v>
      </c>
      <c r="E16" s="17" t="str">
        <f>VLOOKUP(DATEN!I16,DATEN!$I$1:$J$39,IF($K$3="Deutsch", 1, 2),FALSE)</f>
        <v>RA</v>
      </c>
      <c r="F16" s="17" t="str">
        <f>VLOOKUP(DATEN!I17,DATEN!$I$1:$J$39,IF($K$3="Deutsch", 1, 2),FALSE)</f>
        <v>RBL 
(min45)</v>
      </c>
      <c r="G16" s="17" t="str">
        <f>VLOOKUP(DATEN!I18,DATEN!$I$1:$J$39,IF($K$3="Deutsch", 1, 2),FALSE)</f>
        <v>RBR 
(min45)</v>
      </c>
      <c r="H16" s="17"/>
      <c r="I16" s="184" t="str">
        <f>VLOOKUP(DATEN!I19,DATEN!$I$1:$J$39,IF($K$3="Deutsch", 1, 2),FALSE)</f>
        <v>Verbreiterungen</v>
      </c>
      <c r="J16" s="185"/>
      <c r="K16" s="185"/>
      <c r="L16" s="185"/>
      <c r="M16" s="18" t="str">
        <f>VLOOKUP(DATEN!I20,DATEN!$I$1:$J$39,IF($K$3="Deutsch",1,2),FALSE)</f>
        <v>Total</v>
      </c>
      <c r="N16" s="17"/>
      <c r="O16" s="20" t="str">
        <f>E25</f>
        <v>Profil</v>
      </c>
      <c r="P16" s="20" t="str">
        <f>A26</f>
        <v>Links</v>
      </c>
      <c r="Q16" s="20" t="str">
        <f>A27</f>
        <v>Rechts</v>
      </c>
      <c r="R16" s="20" t="str">
        <f>A28</f>
        <v>Mittelteil</v>
      </c>
    </row>
    <row r="17" spans="1:24" ht="15" thickBot="1" x14ac:dyDescent="0.25">
      <c r="A17" s="41">
        <v>5</v>
      </c>
      <c r="B17" s="268">
        <f>VLOOKUP($A$17,'Bestellung Commande'!$A$27:$O$65,3,FALSE)</f>
        <v>0</v>
      </c>
      <c r="C17" s="268"/>
      <c r="D17" s="41">
        <f>VLOOKUP($A$17,'Bestellung Commande'!$A$27:$O$65,5,FALSE)</f>
        <v>0</v>
      </c>
      <c r="E17" s="41">
        <f>VLOOKUP($A$17,'Bestellung Commande'!$A$27:$O$65,6,FALSE)</f>
        <v>0</v>
      </c>
      <c r="F17" s="41">
        <f>VLOOKUP($A$17,'Bestellung Commande'!$A$27:$O$65,7,FALSE)</f>
        <v>0</v>
      </c>
      <c r="G17" s="41">
        <f>VLOOKUP($A$17,'Bestellung Commande'!$A$27:$O$65,8,FALSE)</f>
        <v>0</v>
      </c>
      <c r="H17" s="41">
        <f>VLOOKUP($A$17,'Bestellung Commande'!$A$27:$O$65,9,FALSE)</f>
        <v>0</v>
      </c>
      <c r="I17" s="22">
        <f>VLOOKUP($A$17,'Bestellung Commande'!$A$27:$O$65,10,FALSE)</f>
        <v>0</v>
      </c>
      <c r="J17" s="23">
        <f>VLOOKUP($A$17,'Bestellung Commande'!$A$27:$O$65,11,FALSE)</f>
        <v>0</v>
      </c>
      <c r="K17" s="23">
        <f>VLOOKUP($A$17,'Bestellung Commande'!$A$27:$O$65,12,FALSE)</f>
        <v>0</v>
      </c>
      <c r="L17" s="23">
        <f>VLOOKUP($A$17,'Bestellung Commande'!$A$27:$O$65,13,FALSE)</f>
        <v>0</v>
      </c>
      <c r="M17" s="125">
        <f>VLOOKUP($A$17,'Bestellung Commande'!$A$27:$O$65,14,FALSE)</f>
        <v>0</v>
      </c>
      <c r="N17" s="24"/>
      <c r="O17" s="9" t="str">
        <f>F25</f>
        <v>C298927</v>
      </c>
      <c r="P17" s="29">
        <f>F26</f>
        <v>20</v>
      </c>
      <c r="Q17" s="29">
        <f>F27</f>
        <v>20</v>
      </c>
      <c r="R17" s="29">
        <f>F28</f>
        <v>-42</v>
      </c>
    </row>
    <row r="18" spans="1:24" x14ac:dyDescent="0.2">
      <c r="B18" s="41" cm="1">
        <f t="array" ref="B18">INDEX('Bestellung Commande'!$C$27:$C$66, MATCH($A$17, 'Bestellung Commande'!$A$27:$A$66, 0) + 1)</f>
        <v>0</v>
      </c>
      <c r="C18" s="41" cm="1">
        <f t="array" ref="C18">INDEX('Bestellung Commande'!$D$27:$D$66, MATCH($A$17, 'Bestellung Commande'!$A$27:$A$66, 0) + 1)</f>
        <v>0</v>
      </c>
    </row>
    <row r="20" spans="1:24" ht="15" x14ac:dyDescent="0.25">
      <c r="A20" s="267" t="s">
        <v>10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</row>
    <row r="21" spans="1:24" ht="15" x14ac:dyDescent="0.25">
      <c r="E21" s="25" t="s">
        <v>11</v>
      </c>
      <c r="F21" s="9" t="s">
        <v>12</v>
      </c>
      <c r="G21"/>
      <c r="H21"/>
      <c r="I21"/>
    </row>
    <row r="22" spans="1:24" x14ac:dyDescent="0.2">
      <c r="E22" t="s">
        <v>13</v>
      </c>
      <c r="F22" s="26">
        <f>E17</f>
        <v>0</v>
      </c>
      <c r="G22"/>
      <c r="H22"/>
      <c r="I22"/>
    </row>
    <row r="23" spans="1:24" x14ac:dyDescent="0.2">
      <c r="F23" s="9">
        <f>B17</f>
        <v>0</v>
      </c>
      <c r="G23"/>
      <c r="H23"/>
      <c r="I23"/>
    </row>
    <row r="24" spans="1:24" ht="15" x14ac:dyDescent="0.25">
      <c r="A24" s="267" t="s">
        <v>14</v>
      </c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</row>
    <row r="25" spans="1:24" ht="15" x14ac:dyDescent="0.25">
      <c r="E25" s="25" t="s">
        <v>11</v>
      </c>
      <c r="F25" s="9" t="s">
        <v>15</v>
      </c>
      <c r="G25"/>
      <c r="H25"/>
      <c r="I25"/>
    </row>
    <row r="26" spans="1:24" x14ac:dyDescent="0.2">
      <c r="A26" t="s">
        <v>16</v>
      </c>
      <c r="E26" t="s">
        <v>13</v>
      </c>
      <c r="F26" s="26">
        <f>F17+20</f>
        <v>20</v>
      </c>
      <c r="G26"/>
      <c r="H26"/>
      <c r="I26"/>
      <c r="W26" s="121" t="s">
        <v>208</v>
      </c>
      <c r="X26" s="122">
        <f>F37-F36</f>
        <v>-100</v>
      </c>
    </row>
    <row r="27" spans="1:24" x14ac:dyDescent="0.2">
      <c r="A27" t="s">
        <v>17</v>
      </c>
      <c r="E27" t="s">
        <v>13</v>
      </c>
      <c r="F27" s="26">
        <f>G17+20</f>
        <v>20</v>
      </c>
      <c r="G27"/>
      <c r="H27"/>
      <c r="I27"/>
      <c r="W27" t="s">
        <v>209</v>
      </c>
      <c r="X27">
        <f>[1]DATEN!D14</f>
        <v>300</v>
      </c>
    </row>
    <row r="28" spans="1:24" x14ac:dyDescent="0.2">
      <c r="A28" t="s">
        <v>18</v>
      </c>
      <c r="E28" t="s">
        <v>13</v>
      </c>
      <c r="F28" s="26">
        <f>(E17-(F26+F27))-2</f>
        <v>-42</v>
      </c>
      <c r="G28"/>
      <c r="H28"/>
      <c r="I28"/>
      <c r="P28" t="s">
        <v>293</v>
      </c>
      <c r="T28" t="s">
        <v>294</v>
      </c>
      <c r="W28" t="s">
        <v>210</v>
      </c>
      <c r="X28">
        <f>ROUNDUP(X26/X27,0)</f>
        <v>-1</v>
      </c>
    </row>
    <row r="29" spans="1:24" ht="15" x14ac:dyDescent="0.25">
      <c r="A29" s="267" t="s">
        <v>19</v>
      </c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7" t="str">
        <f t="shared" ref="O29:O39" si="0">IF(AND($F$32&gt;=Q29,$F$32&lt;R29),P29,"")</f>
        <v/>
      </c>
      <c r="P29" s="28" t="str">
        <f>" "</f>
        <v xml:space="preserve"> </v>
      </c>
      <c r="Q29" s="28">
        <v>-1000000</v>
      </c>
      <c r="R29" s="28">
        <v>0</v>
      </c>
      <c r="S29" s="27" t="str">
        <f t="shared" ref="S29:S39" si="1">IF(AND($G$32&gt;=U29,$G$32&lt;V29),T29,"")</f>
        <v/>
      </c>
      <c r="T29" s="28" t="str">
        <f t="shared" ref="T29:T30" si="2">P29</f>
        <v xml:space="preserve"> </v>
      </c>
      <c r="U29" s="28">
        <f t="shared" ref="U29:U30" si="3">Q29</f>
        <v>-1000000</v>
      </c>
      <c r="V29" s="28">
        <f t="shared" ref="V29:V30" si="4">R29</f>
        <v>0</v>
      </c>
      <c r="W29" t="s">
        <v>211</v>
      </c>
      <c r="X29">
        <f>X26/X28</f>
        <v>100</v>
      </c>
    </row>
    <row r="30" spans="1:24" ht="15" x14ac:dyDescent="0.25">
      <c r="F30" s="25" t="s">
        <v>293</v>
      </c>
      <c r="G30" s="25" t="s">
        <v>294</v>
      </c>
      <c r="H30"/>
      <c r="I30"/>
      <c r="K30"/>
      <c r="N30"/>
      <c r="O30" s="27" t="str">
        <f t="shared" si="0"/>
        <v/>
      </c>
      <c r="P30" s="28"/>
      <c r="Q30" s="28">
        <v>0.1</v>
      </c>
      <c r="R30" s="28">
        <v>247.9</v>
      </c>
      <c r="S30" s="27" t="str">
        <f t="shared" si="1"/>
        <v/>
      </c>
      <c r="T30" s="28">
        <f t="shared" si="2"/>
        <v>0</v>
      </c>
      <c r="U30" s="28">
        <f t="shared" si="3"/>
        <v>0.1</v>
      </c>
      <c r="V30" s="28">
        <f t="shared" si="4"/>
        <v>247.9</v>
      </c>
    </row>
    <row r="31" spans="1:24" x14ac:dyDescent="0.2">
      <c r="F31" s="9" t="str">
        <f>O29&amp;O31&amp;O32&amp;O33&amp;O34&amp;O35&amp;O36&amp;O37&amp;O38&amp;O39</f>
        <v/>
      </c>
      <c r="G31" s="9" t="str">
        <f>S29&amp;S31&amp;S32&amp;S33&amp;S34&amp;S35&amp;S36&amp;S37&amp;S38&amp;S39</f>
        <v/>
      </c>
      <c r="I31"/>
      <c r="O31" s="27" t="str">
        <f t="shared" si="0"/>
        <v/>
      </c>
      <c r="P31" s="28" t="str">
        <f>DATEN!M7</f>
        <v>C555366</v>
      </c>
      <c r="Q31" s="28">
        <f>DATEN!N7</f>
        <v>275</v>
      </c>
      <c r="R31" s="28">
        <f>DATEN!O7</f>
        <v>400</v>
      </c>
      <c r="S31" s="27" t="str">
        <f t="shared" si="1"/>
        <v/>
      </c>
      <c r="T31" s="28" t="str">
        <f>P31</f>
        <v>C555366</v>
      </c>
      <c r="U31" s="28">
        <f t="shared" ref="U31:V39" si="5">Q31</f>
        <v>275</v>
      </c>
      <c r="V31" s="28">
        <f t="shared" si="5"/>
        <v>400</v>
      </c>
      <c r="W31">
        <v>1</v>
      </c>
      <c r="X31" s="29">
        <f>F36</f>
        <v>50</v>
      </c>
    </row>
    <row r="32" spans="1:24" x14ac:dyDescent="0.2">
      <c r="A32" t="s">
        <v>13</v>
      </c>
      <c r="F32" s="26" t="b">
        <f>IF(AND(B17=1,B18=0),H17,IF(AND(B17=1,B18&gt;0),B18,IF(AND(B17=2,B18=0),(H17-20)/2,IF(AND(B17=2,B18&gt;0),B18))))</f>
        <v>0</v>
      </c>
      <c r="G32" s="26">
        <f>IF(B17=1,0,IF(AND(B17=2,C18=0),0,C18))</f>
        <v>0</v>
      </c>
      <c r="I32"/>
      <c r="O32" s="27" t="str">
        <f t="shared" si="0"/>
        <v/>
      </c>
      <c r="P32" s="28" t="str">
        <f>DATEN!M8</f>
        <v>C555367</v>
      </c>
      <c r="Q32" s="28">
        <f>DATEN!N8</f>
        <v>400</v>
      </c>
      <c r="R32" s="28">
        <f>DATEN!O8</f>
        <v>550</v>
      </c>
      <c r="S32" s="27" t="str">
        <f t="shared" si="1"/>
        <v/>
      </c>
      <c r="T32" s="28" t="str">
        <f t="shared" ref="T32:T39" si="6">P32</f>
        <v>C555367</v>
      </c>
      <c r="U32" s="28">
        <f t="shared" si="5"/>
        <v>400</v>
      </c>
      <c r="V32" s="28">
        <f t="shared" si="5"/>
        <v>550</v>
      </c>
      <c r="W32">
        <v>2</v>
      </c>
      <c r="X32" s="29">
        <f>ROUND(IF(W32-1&gt;$X$28,0,X31+$X$29),0)</f>
        <v>0</v>
      </c>
    </row>
    <row r="33" spans="1:24" x14ac:dyDescent="0.2">
      <c r="A33" t="s">
        <v>23</v>
      </c>
      <c r="F33" s="30">
        <f>IF(AND(B17=2,B18=0),B17,1)*D17</f>
        <v>0</v>
      </c>
      <c r="G33" s="30">
        <f>IF(G32&gt;0,1,0)*D17</f>
        <v>0</v>
      </c>
      <c r="I33"/>
      <c r="O33" s="27" t="str">
        <f t="shared" si="0"/>
        <v/>
      </c>
      <c r="P33" s="28" t="str">
        <f>DATEN!M9</f>
        <v>C555368</v>
      </c>
      <c r="Q33" s="28">
        <f>DATEN!N9</f>
        <v>550</v>
      </c>
      <c r="R33" s="28">
        <f>DATEN!O9</f>
        <v>700</v>
      </c>
      <c r="S33" s="27" t="str">
        <f t="shared" si="1"/>
        <v/>
      </c>
      <c r="T33" s="28" t="str">
        <f t="shared" si="6"/>
        <v>C555368</v>
      </c>
      <c r="U33" s="28">
        <f t="shared" si="5"/>
        <v>550</v>
      </c>
      <c r="V33" s="28">
        <f t="shared" si="5"/>
        <v>700</v>
      </c>
      <c r="W33">
        <v>3</v>
      </c>
      <c r="X33" s="29">
        <f t="shared" ref="X33:X40" si="7">ROUND(IF(W33-1&gt;$X$28,0,X32+$X$29),0)</f>
        <v>0</v>
      </c>
    </row>
    <row r="34" spans="1:24" ht="15" x14ac:dyDescent="0.25">
      <c r="A34" s="267" t="s">
        <v>25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7" t="str">
        <f>IF(AND($F$32&gt;=Q34,$F$32&lt;R34),P34,"")</f>
        <v/>
      </c>
      <c r="P34" s="28" t="str">
        <f>DATEN!M10</f>
        <v>C555369</v>
      </c>
      <c r="Q34" s="28">
        <f>DATEN!N10</f>
        <v>700</v>
      </c>
      <c r="R34" s="28">
        <f>DATEN!O10</f>
        <v>850</v>
      </c>
      <c r="S34" s="27" t="str">
        <f t="shared" si="1"/>
        <v/>
      </c>
      <c r="T34" s="28" t="str">
        <f t="shared" si="6"/>
        <v>C555369</v>
      </c>
      <c r="U34" s="28">
        <f t="shared" si="5"/>
        <v>700</v>
      </c>
      <c r="V34" s="28">
        <f t="shared" si="5"/>
        <v>850</v>
      </c>
      <c r="W34">
        <v>4</v>
      </c>
      <c r="X34" s="29">
        <f t="shared" si="7"/>
        <v>0</v>
      </c>
    </row>
    <row r="35" spans="1:24" ht="15" x14ac:dyDescent="0.25">
      <c r="A35" s="31" t="s">
        <v>27</v>
      </c>
      <c r="F35" s="9" t="s">
        <v>28</v>
      </c>
      <c r="G35" s="32" t="s">
        <v>29</v>
      </c>
      <c r="H35" s="32"/>
      <c r="I35"/>
      <c r="O35" s="27" t="str">
        <f t="shared" si="0"/>
        <v/>
      </c>
      <c r="P35" s="28" t="str">
        <f>DATEN!M11</f>
        <v>C555370</v>
      </c>
      <c r="Q35" s="28">
        <f>DATEN!N11</f>
        <v>850</v>
      </c>
      <c r="R35" s="28">
        <f>DATEN!O11</f>
        <v>1000</v>
      </c>
      <c r="S35" s="27" t="str">
        <f>IF(AND($G$32&gt;=U35,$G$32&lt;V35),T35,"")</f>
        <v/>
      </c>
      <c r="T35" s="28" t="str">
        <f t="shared" si="6"/>
        <v>C555370</v>
      </c>
      <c r="U35" s="28">
        <f t="shared" si="5"/>
        <v>850</v>
      </c>
      <c r="V35" s="28">
        <f t="shared" si="5"/>
        <v>1000</v>
      </c>
      <c r="W35">
        <v>5</v>
      </c>
      <c r="X35" s="29">
        <f t="shared" si="7"/>
        <v>0</v>
      </c>
    </row>
    <row r="36" spans="1:24" x14ac:dyDescent="0.2">
      <c r="A36" t="s">
        <v>31</v>
      </c>
      <c r="F36" s="26">
        <f>F17+50</f>
        <v>50</v>
      </c>
      <c r="G36"/>
      <c r="H36" t="s">
        <v>206</v>
      </c>
      <c r="I36"/>
      <c r="O36" s="27" t="str">
        <f t="shared" si="0"/>
        <v/>
      </c>
      <c r="P36" s="28" t="str">
        <f>DATEN!M12</f>
        <v>C555371</v>
      </c>
      <c r="Q36" s="28">
        <f>DATEN!N12</f>
        <v>1000</v>
      </c>
      <c r="R36" s="28">
        <f>DATEN!O12</f>
        <v>1150</v>
      </c>
      <c r="S36" s="27" t="str">
        <f t="shared" si="1"/>
        <v/>
      </c>
      <c r="T36" s="28" t="str">
        <f t="shared" si="6"/>
        <v>C555371</v>
      </c>
      <c r="U36" s="28">
        <f t="shared" si="5"/>
        <v>1000</v>
      </c>
      <c r="V36" s="28">
        <f t="shared" si="5"/>
        <v>1150</v>
      </c>
      <c r="W36">
        <v>6</v>
      </c>
      <c r="X36" s="29">
        <f t="shared" si="7"/>
        <v>0</v>
      </c>
    </row>
    <row r="37" spans="1:24" x14ac:dyDescent="0.2">
      <c r="A37" t="s">
        <v>33</v>
      </c>
      <c r="F37" s="26">
        <f>F17+H17-DATEN!$D$13</f>
        <v>-50</v>
      </c>
      <c r="H37" t="s">
        <v>36</v>
      </c>
      <c r="I37"/>
      <c r="J37" s="9">
        <f>X28+1</f>
        <v>0</v>
      </c>
      <c r="O37" s="27" t="str">
        <f t="shared" si="0"/>
        <v/>
      </c>
      <c r="P37" s="28" t="str">
        <f>DATEN!M13</f>
        <v>C555372</v>
      </c>
      <c r="Q37" s="28">
        <f>DATEN!N13</f>
        <v>1150</v>
      </c>
      <c r="R37" s="28">
        <f>DATEN!O13</f>
        <v>1300</v>
      </c>
      <c r="S37" s="27" t="str">
        <f t="shared" si="1"/>
        <v/>
      </c>
      <c r="T37" s="28" t="str">
        <f t="shared" si="6"/>
        <v>C555372</v>
      </c>
      <c r="U37" s="28">
        <f t="shared" si="5"/>
        <v>1150</v>
      </c>
      <c r="V37" s="28">
        <f t="shared" si="5"/>
        <v>1300</v>
      </c>
      <c r="W37">
        <v>7</v>
      </c>
      <c r="X37" s="29">
        <f t="shared" si="7"/>
        <v>0</v>
      </c>
    </row>
    <row r="38" spans="1:24" x14ac:dyDescent="0.2">
      <c r="A38" s="33" t="s">
        <v>35</v>
      </c>
      <c r="F38" s="123" t="str">
        <f>X31&amp;IF(X32="",""," / ")&amp;X32  &amp; IF(X33="",""," / ")&amp;X33&amp; IF(X34="",""," / ")&amp;X34&amp; IF(X35="",""," / ")&amp;X35&amp; IF(X36="",""," / ")&amp;X36&amp; IF(X37="",""," / ")&amp;X37&amp; IF(X38="",""," / ")&amp;X38&amp; IF(X39="",""," / ")&amp;X39&amp; IF(X40="",""," / ")&amp;X40</f>
        <v>50 / 0 / 0 / 0 / 0 / 0 / 0 / 0 / 0 / 0</v>
      </c>
      <c r="O38" s="27" t="str">
        <f t="shared" si="0"/>
        <v/>
      </c>
      <c r="P38" s="28" t="str">
        <f>DATEN!M14</f>
        <v>C555373</v>
      </c>
      <c r="Q38" s="28">
        <f>DATEN!N14</f>
        <v>1300</v>
      </c>
      <c r="R38" s="28">
        <f>DATEN!O14</f>
        <v>1450</v>
      </c>
      <c r="S38" s="27" t="str">
        <f t="shared" si="1"/>
        <v/>
      </c>
      <c r="T38" s="28" t="str">
        <f t="shared" si="6"/>
        <v>C555373</v>
      </c>
      <c r="U38" s="28">
        <f t="shared" si="5"/>
        <v>1300</v>
      </c>
      <c r="V38" s="28">
        <f t="shared" si="5"/>
        <v>1450</v>
      </c>
      <c r="W38">
        <v>8</v>
      </c>
      <c r="X38" s="29">
        <f t="shared" si="7"/>
        <v>0</v>
      </c>
    </row>
    <row r="39" spans="1:24" x14ac:dyDescent="0.2">
      <c r="F39" s="9"/>
      <c r="G39"/>
      <c r="H39"/>
      <c r="I39"/>
      <c r="O39" s="27" t="str">
        <f t="shared" si="0"/>
        <v/>
      </c>
      <c r="P39" s="28" t="str">
        <f>DATEN!M15</f>
        <v>Zu Lang</v>
      </c>
      <c r="Q39" s="28">
        <f>DATEN!N15</f>
        <v>1450.1</v>
      </c>
      <c r="R39" s="28">
        <f>DATEN!O15</f>
        <v>1000000</v>
      </c>
      <c r="S39" s="27" t="str">
        <f t="shared" si="1"/>
        <v/>
      </c>
      <c r="T39" s="28" t="str">
        <f t="shared" si="6"/>
        <v>Zu Lang</v>
      </c>
      <c r="U39" s="28">
        <f t="shared" si="5"/>
        <v>1450.1</v>
      </c>
      <c r="V39" s="28">
        <f t="shared" si="5"/>
        <v>1000000</v>
      </c>
      <c r="W39">
        <v>9</v>
      </c>
      <c r="X39" s="29">
        <f t="shared" si="7"/>
        <v>0</v>
      </c>
    </row>
    <row r="40" spans="1:24" ht="15" x14ac:dyDescent="0.25">
      <c r="A40" s="267" t="s">
        <v>39</v>
      </c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W40">
        <v>10</v>
      </c>
      <c r="X40" s="29">
        <f t="shared" si="7"/>
        <v>0</v>
      </c>
    </row>
    <row r="41" spans="1:24" x14ac:dyDescent="0.2">
      <c r="A41" t="s">
        <v>41</v>
      </c>
      <c r="F41" s="26">
        <f>G17-15</f>
        <v>-15</v>
      </c>
      <c r="G41"/>
      <c r="H41"/>
      <c r="I41"/>
    </row>
    <row r="42" spans="1:24" x14ac:dyDescent="0.2">
      <c r="A42" t="s">
        <v>42</v>
      </c>
      <c r="F42" s="26">
        <f>E17-G17+15</f>
        <v>15</v>
      </c>
      <c r="G42"/>
      <c r="H42"/>
      <c r="I42"/>
    </row>
    <row r="43" spans="1:24" x14ac:dyDescent="0.2">
      <c r="A43" t="s">
        <v>43</v>
      </c>
      <c r="F43" s="26">
        <f>G17-35</f>
        <v>-35</v>
      </c>
      <c r="G43"/>
      <c r="H43"/>
      <c r="I43"/>
    </row>
    <row r="44" spans="1:24" x14ac:dyDescent="0.2">
      <c r="A44" t="s">
        <v>44</v>
      </c>
      <c r="F44" s="26">
        <f>E17-G17+35</f>
        <v>35</v>
      </c>
      <c r="G44"/>
      <c r="H44"/>
      <c r="I44"/>
    </row>
    <row r="45" spans="1:24" x14ac:dyDescent="0.2">
      <c r="A45" t="s">
        <v>45</v>
      </c>
      <c r="F45" s="26">
        <f>F17-23</f>
        <v>-23</v>
      </c>
      <c r="G45"/>
      <c r="H45"/>
      <c r="I45"/>
    </row>
    <row r="46" spans="1:24" x14ac:dyDescent="0.2">
      <c r="A46" t="s">
        <v>46</v>
      </c>
      <c r="F46" s="26">
        <f>E17-G17+23</f>
        <v>23</v>
      </c>
      <c r="G46"/>
      <c r="H46"/>
      <c r="I46"/>
    </row>
    <row r="47" spans="1:24" x14ac:dyDescent="0.2">
      <c r="F47" s="9"/>
      <c r="G47"/>
      <c r="H47"/>
      <c r="I47"/>
      <c r="P47" s="9"/>
    </row>
    <row r="48" spans="1:24" ht="15" x14ac:dyDescent="0.25">
      <c r="A48" s="34" t="s">
        <v>47</v>
      </c>
      <c r="B48" s="35"/>
      <c r="C48" s="35"/>
      <c r="D48" s="35"/>
      <c r="E48" s="35"/>
      <c r="F48" s="35" t="s">
        <v>48</v>
      </c>
      <c r="G48" s="35"/>
      <c r="H48" s="35"/>
      <c r="I48" s="35"/>
      <c r="J48" s="35"/>
      <c r="K48" s="35"/>
      <c r="L48" s="35"/>
    </row>
    <row r="49" spans="1:14" x14ac:dyDescent="0.2">
      <c r="A49" t="s">
        <v>49</v>
      </c>
      <c r="F49" s="26">
        <v>25</v>
      </c>
      <c r="G49"/>
      <c r="H49"/>
      <c r="I49"/>
    </row>
    <row r="50" spans="1:14" x14ac:dyDescent="0.2">
      <c r="A50" t="s">
        <v>33</v>
      </c>
      <c r="F50" s="26">
        <f>F28-25</f>
        <v>-67</v>
      </c>
      <c r="G50"/>
      <c r="H50"/>
      <c r="I50"/>
    </row>
    <row r="51" spans="1:14" x14ac:dyDescent="0.2">
      <c r="A51" s="33" t="s">
        <v>35</v>
      </c>
      <c r="F51" s="36" t="s">
        <v>50</v>
      </c>
      <c r="G51"/>
      <c r="H51"/>
      <c r="I51" t="s">
        <v>36</v>
      </c>
    </row>
    <row r="52" spans="1:14" x14ac:dyDescent="0.2">
      <c r="F52" s="129" t="str">
        <f>IF(B17=2,"Achtung!! 2 Flüglig!! Mittleres Loch auslassen","")</f>
        <v/>
      </c>
      <c r="G52"/>
      <c r="H52"/>
      <c r="I52"/>
    </row>
    <row r="53" spans="1:14" ht="15" x14ac:dyDescent="0.25">
      <c r="A53" s="267" t="s">
        <v>51</v>
      </c>
      <c r="B53" s="267"/>
      <c r="C53" s="267"/>
      <c r="D53" s="267"/>
      <c r="E53" s="267"/>
      <c r="F53" s="267"/>
      <c r="G53" s="267"/>
      <c r="H53" s="267"/>
      <c r="I53" s="267"/>
      <c r="J53" s="267"/>
      <c r="K53" s="267"/>
      <c r="L53" s="267"/>
    </row>
    <row r="54" spans="1:14" x14ac:dyDescent="0.2">
      <c r="A54" s="35" t="s">
        <v>52</v>
      </c>
      <c r="B54" s="37" t="s">
        <v>53</v>
      </c>
      <c r="C54" s="37"/>
      <c r="D54" s="206" t="s">
        <v>54</v>
      </c>
      <c r="E54" s="206"/>
      <c r="F54" s="35" t="s">
        <v>55</v>
      </c>
      <c r="G54" s="35"/>
      <c r="H54" s="35"/>
      <c r="I54" s="35"/>
      <c r="J54" s="35"/>
      <c r="K54" s="266" t="s">
        <v>13</v>
      </c>
      <c r="L54" s="266"/>
    </row>
    <row r="55" spans="1:14" x14ac:dyDescent="0.2">
      <c r="A55" s="12">
        <v>1</v>
      </c>
      <c r="B55" s="9">
        <f>VLOOKUP(A17,'Bestellung Commande'!A27:O65,11,FALSE)</f>
        <v>0</v>
      </c>
      <c r="C55" s="9"/>
      <c r="D55" s="252">
        <f>IF(ISERROR(VLOOKUP($B55,DATEN!$A$3:$D$10,2,FALSE)),"",VLOOKUP($B55,DATEN!$A$3:$D$10,2,FALSE))</f>
        <v>0</v>
      </c>
      <c r="E55" s="252"/>
      <c r="F55" s="12">
        <f>IF(ISERROR(VLOOKUP($B55,DATEN!$A$3:$D$10,3,FALSE)),"",VLOOKUP($B55,DATEN!$A$3:$D$10,3,FALSE))</f>
        <v>0</v>
      </c>
      <c r="G55"/>
      <c r="H55"/>
      <c r="K55" s="265">
        <f>$F$22</f>
        <v>0</v>
      </c>
      <c r="L55" s="265"/>
    </row>
    <row r="56" spans="1:14" x14ac:dyDescent="0.2">
      <c r="A56" s="12">
        <v>2</v>
      </c>
      <c r="B56" s="9">
        <f>VLOOKUP(A17,'Bestellung Commande'!A27:O65,12,FALSE)</f>
        <v>0</v>
      </c>
      <c r="C56" s="9"/>
      <c r="D56" s="252">
        <f>IF(ISERROR(VLOOKUP($B56,DATEN!$A$3:$D$10,2,FALSE)),"",VLOOKUP($B56,DATEN!$A$3:$D$10,2,FALSE))</f>
        <v>0</v>
      </c>
      <c r="E56" s="252"/>
      <c r="F56" s="9">
        <f>IF(ISERROR(VLOOKUP($B56,DATEN!$A$3:$D$10,3,FALSE)),"",VLOOKUP($B56,DATEN!$A$3:$D$10,3,FALSE))</f>
        <v>0</v>
      </c>
      <c r="G56"/>
      <c r="H56"/>
      <c r="K56" s="265">
        <f t="shared" ref="K56:K58" si="8">$F$22</f>
        <v>0</v>
      </c>
      <c r="L56" s="265"/>
    </row>
    <row r="57" spans="1:14" x14ac:dyDescent="0.2">
      <c r="A57" s="12">
        <v>3</v>
      </c>
      <c r="B57" s="9">
        <f>VLOOKUP(A17,'Bestellung Commande'!A27:O65,13,FALSE)</f>
        <v>0</v>
      </c>
      <c r="C57" s="9"/>
      <c r="D57" s="252">
        <f>IF(ISERROR(VLOOKUP($B57,DATEN!$A$3:$D$10,2,FALSE)),"",VLOOKUP($B57,DATEN!$A$3:$D$10,2,FALSE))</f>
        <v>0</v>
      </c>
      <c r="E57" s="252"/>
      <c r="F57" s="9">
        <f>IF(ISERROR(VLOOKUP($B57,DATEN!$A$3:$D$10,3,FALSE)),"",VLOOKUP($B57,DATEN!$A$3:$D$10,3,FALSE))</f>
        <v>0</v>
      </c>
      <c r="K57" s="265">
        <f t="shared" si="8"/>
        <v>0</v>
      </c>
      <c r="L57" s="265"/>
    </row>
    <row r="58" spans="1:14" x14ac:dyDescent="0.2">
      <c r="A58" s="12">
        <v>4</v>
      </c>
      <c r="B58" s="9">
        <f>VLOOKUP(A17,'Bestellung Commande'!A27:O65,14,FALSE)</f>
        <v>0</v>
      </c>
      <c r="C58" s="9"/>
      <c r="D58" s="252">
        <f>IF(ISERROR(VLOOKUP($B58,DATEN!$A$3:$D$10,2,FALSE)),"",VLOOKUP($B58,DATEN!$A$3:$D$10,2,FALSE))</f>
        <v>0</v>
      </c>
      <c r="E58" s="252"/>
      <c r="F58" s="9">
        <f>IF(ISERROR(VLOOKUP($B58,DATEN!$A$3:$D$10,3,FALSE)),"",VLOOKUP($B58,DATEN!$A$3:$D$10,3,FALSE))</f>
        <v>0</v>
      </c>
      <c r="K58" s="265">
        <f t="shared" si="8"/>
        <v>0</v>
      </c>
      <c r="L58" s="265"/>
      <c r="N58" s="46">
        <f>'Bestellung Commande'!B44</f>
        <v>0</v>
      </c>
    </row>
  </sheetData>
  <sheetProtection algorithmName="SHA-512" hashValue="CqDmT5X0OZ3iDU7KvPmcxpeaaBx8AwxEeR/iOQpKrMfXCHNDiaNFiAIY1VmC6OI+AJBmrjBWrVCS5HU1uea//A==" saltValue="uTXGQTOKYK/xersq3PMlzA==" spinCount="100000" sheet="1" objects="1" scenarios="1"/>
  <mergeCells count="52">
    <mergeCell ref="D57:E57"/>
    <mergeCell ref="K57:L57"/>
    <mergeCell ref="D58:E58"/>
    <mergeCell ref="K58:L58"/>
    <mergeCell ref="A53:L53"/>
    <mergeCell ref="D54:E54"/>
    <mergeCell ref="K54:L54"/>
    <mergeCell ref="D55:E55"/>
    <mergeCell ref="K55:L55"/>
    <mergeCell ref="D56:E56"/>
    <mergeCell ref="K56:L56"/>
    <mergeCell ref="A40:L40"/>
    <mergeCell ref="A13:B13"/>
    <mergeCell ref="D13:F13"/>
    <mergeCell ref="A14:B14"/>
    <mergeCell ref="D14:F14"/>
    <mergeCell ref="B16:C16"/>
    <mergeCell ref="I16:L16"/>
    <mergeCell ref="B17:C17"/>
    <mergeCell ref="A20:N20"/>
    <mergeCell ref="A24:N24"/>
    <mergeCell ref="A29:N29"/>
    <mergeCell ref="A34:N34"/>
    <mergeCell ref="A10:B10"/>
    <mergeCell ref="D10:F10"/>
    <mergeCell ref="G10:N11"/>
    <mergeCell ref="A11:F11"/>
    <mergeCell ref="A12:B12"/>
    <mergeCell ref="D12:F12"/>
    <mergeCell ref="A6:B6"/>
    <mergeCell ref="D6:F6"/>
    <mergeCell ref="G6:N6"/>
    <mergeCell ref="A7:F7"/>
    <mergeCell ref="G7:N9"/>
    <mergeCell ref="A8:B8"/>
    <mergeCell ref="D8:F8"/>
    <mergeCell ref="A9:B9"/>
    <mergeCell ref="D9:F9"/>
    <mergeCell ref="D4:F4"/>
    <mergeCell ref="G4:J4"/>
    <mergeCell ref="K4:N4"/>
    <mergeCell ref="A5:B5"/>
    <mergeCell ref="D5:F5"/>
    <mergeCell ref="G5:J5"/>
    <mergeCell ref="K5:N5"/>
    <mergeCell ref="A1:N1"/>
    <mergeCell ref="A2:F2"/>
    <mergeCell ref="G2:N2"/>
    <mergeCell ref="A3:B3"/>
    <mergeCell ref="D3:F3"/>
    <mergeCell ref="G3:J3"/>
    <mergeCell ref="K3:N3"/>
  </mergeCells>
  <printOptions horizontalCentered="1"/>
  <pageMargins left="0.27" right="0.31" top="0.74803149606299213" bottom="0.74803149606299213" header="0.31496062992125984" footer="0.31496062992125984"/>
  <pageSetup paperSize="9" scale="87" orientation="portrait" r:id="rId1"/>
  <headerFooter>
    <oddHeader>&amp;R&amp;G</oddHeader>
    <oddFooter>&amp;LDuckdatum: &amp;D
&amp;F&amp;R&amp;P/&amp;N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E14404A-4C39-4333-90DE-679ADEA63BB6}">
          <x14:formula1>
            <xm:f>DATEN!$I$1:$J$1</xm:f>
          </x14:formula1>
          <xm:sqref>K3:N3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D0D99-679A-4235-AB5C-9B420C75EB76}">
  <sheetPr codeName="Tabelle9"/>
  <dimension ref="A1:X58"/>
  <sheetViews>
    <sheetView view="pageBreakPreview" topLeftCell="A3" zoomScaleNormal="120" zoomScaleSheetLayoutView="100" workbookViewId="0">
      <selection activeCell="A12" sqref="A12:B12"/>
    </sheetView>
  </sheetViews>
  <sheetFormatPr baseColWidth="10" defaultColWidth="11" defaultRowHeight="14.25" x14ac:dyDescent="0.2"/>
  <cols>
    <col min="1" max="3" width="8.875" customWidth="1"/>
    <col min="4" max="5" width="6.5" customWidth="1"/>
    <col min="6" max="6" width="10.625" customWidth="1"/>
    <col min="7" max="7" width="8.75" style="9" customWidth="1"/>
    <col min="8" max="8" width="8.875" style="9" customWidth="1"/>
    <col min="9" max="9" width="4.875" style="9" customWidth="1"/>
    <col min="10" max="10" width="8.75" customWidth="1"/>
    <col min="11" max="11" width="4.5" style="9" customWidth="1"/>
    <col min="12" max="13" width="4.5" customWidth="1"/>
    <col min="14" max="14" width="4.5" style="9" customWidth="1"/>
  </cols>
  <sheetData>
    <row r="1" spans="1:18" ht="23.25" x14ac:dyDescent="0.2">
      <c r="A1" s="238" t="s">
        <v>9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1:18" ht="15" x14ac:dyDescent="0.25">
      <c r="A2" s="253" t="s">
        <v>0</v>
      </c>
      <c r="B2" s="254"/>
      <c r="C2" s="254"/>
      <c r="D2" s="254"/>
      <c r="E2" s="254"/>
      <c r="F2" s="255"/>
      <c r="G2" s="161" t="s">
        <v>1</v>
      </c>
      <c r="H2" s="162"/>
      <c r="I2" s="162"/>
      <c r="J2" s="162"/>
      <c r="K2" s="162"/>
      <c r="L2" s="162"/>
      <c r="M2" s="162"/>
      <c r="N2" s="162"/>
    </row>
    <row r="3" spans="1:18" ht="15" x14ac:dyDescent="0.25">
      <c r="A3" s="165" t="str">
        <f>VLOOKUP(DATEN!I2,DATEN!$I$1:$J$39,IF($K$3="Deutsch", 1, 2),FALSE)</f>
        <v>Kunde Name:</v>
      </c>
      <c r="B3" s="167"/>
      <c r="C3" s="11"/>
      <c r="D3" s="212">
        <f>'Bestellung Commande'!C2</f>
        <v>0</v>
      </c>
      <c r="E3" s="212"/>
      <c r="F3" s="212"/>
      <c r="G3" s="256" t="s">
        <v>2</v>
      </c>
      <c r="H3" s="257"/>
      <c r="I3" s="257"/>
      <c r="J3" s="258"/>
      <c r="K3" s="259" t="s">
        <v>3</v>
      </c>
      <c r="L3" s="260"/>
      <c r="M3" s="260"/>
      <c r="N3" s="261"/>
    </row>
    <row r="4" spans="1:18" ht="15" x14ac:dyDescent="0.25">
      <c r="A4" s="10" t="str">
        <f>VLOOKUP(DATEN!I3,DATEN!$I$1:$J$39,IF($K$3="Deutsch", 1, 2),FALSE)</f>
        <v>Kontaktperson:</v>
      </c>
      <c r="B4" s="11"/>
      <c r="C4" s="11"/>
      <c r="D4" s="212">
        <f>'Bestellung Commande'!C3</f>
        <v>0</v>
      </c>
      <c r="E4" s="212"/>
      <c r="F4" s="212"/>
      <c r="G4" s="256" t="str">
        <f>VLOOKUP(DATEN!I9,DATEN!$I$1:$J$39,IF($K$3="Deutsch", 1, 2),FALSE)</f>
        <v>Bestelldatum:</v>
      </c>
      <c r="H4" s="257"/>
      <c r="I4" s="257"/>
      <c r="J4" s="258"/>
      <c r="K4" s="263">
        <f>'Bestellung Commande'!L3</f>
        <v>0</v>
      </c>
      <c r="L4" s="260"/>
      <c r="M4" s="260"/>
      <c r="N4" s="261"/>
    </row>
    <row r="5" spans="1:18" ht="15" x14ac:dyDescent="0.25">
      <c r="A5" s="165" t="str">
        <f>VLOOKUP(DATEN!I4,DATEN!$I$1:$J$39,IF($K$3="Deutsch", 1, 2),FALSE)</f>
        <v>Kommision:</v>
      </c>
      <c r="B5" s="167"/>
      <c r="C5" s="11"/>
      <c r="D5" s="212">
        <f>'Bestellung Commande'!C4</f>
        <v>0</v>
      </c>
      <c r="E5" s="212"/>
      <c r="F5" s="212"/>
      <c r="G5" s="256" t="str">
        <f>VLOOKUP(DATEN!I10,DATEN!$I$1:$J$39,IF($K$3="Deutsch", 1, 2),FALSE)</f>
        <v>Wunsch Liefertermin:</v>
      </c>
      <c r="H5" s="257"/>
      <c r="I5" s="257"/>
      <c r="J5" s="258"/>
      <c r="K5" s="263">
        <f>'Bestellung Commande'!L4</f>
        <v>0</v>
      </c>
      <c r="L5" s="260"/>
      <c r="M5" s="260"/>
      <c r="N5" s="261"/>
    </row>
    <row r="6" spans="1:18" ht="15" x14ac:dyDescent="0.25">
      <c r="A6" s="165" t="str">
        <f>VLOOKUP(DATEN!I5,DATEN!$I$1:$J$39,IF($K$3="Deutsch", 1, 2),FALSE)</f>
        <v>Kontakt Telefon:</v>
      </c>
      <c r="B6" s="167"/>
      <c r="C6" s="11"/>
      <c r="D6" s="212">
        <f>'Bestellung Commande'!C5</f>
        <v>0</v>
      </c>
      <c r="E6" s="212"/>
      <c r="F6" s="212"/>
      <c r="G6" s="163" t="str">
        <f>VLOOKUP(DATEN!I11,DATEN!$I$1:$J$39,IF($K$3="Deutsch", 1, 2),FALSE)</f>
        <v>Bemerkung:</v>
      </c>
      <c r="H6" s="164"/>
      <c r="I6" s="164"/>
      <c r="J6" s="164"/>
      <c r="K6" s="164"/>
      <c r="L6" s="164"/>
      <c r="M6" s="164"/>
      <c r="N6" s="164"/>
    </row>
    <row r="7" spans="1:18" ht="15" x14ac:dyDescent="0.25">
      <c r="A7" s="264" t="s">
        <v>4</v>
      </c>
      <c r="B7" s="264"/>
      <c r="C7" s="264"/>
      <c r="D7" s="264"/>
      <c r="E7" s="264"/>
      <c r="F7" s="264"/>
      <c r="G7" s="225" t="str">
        <f>VLOOKUP(DATEN!I11,DATEN!$I$1:$J$39,IF($K$3="Deutsch", 1, 2),FALSE)</f>
        <v>Bemerkung:</v>
      </c>
      <c r="H7" s="225"/>
      <c r="I7" s="225"/>
      <c r="J7" s="225"/>
      <c r="K7" s="225"/>
      <c r="L7" s="225"/>
      <c r="M7" s="225"/>
      <c r="N7" s="225"/>
    </row>
    <row r="8" spans="1:18" ht="15" x14ac:dyDescent="0.25">
      <c r="A8" s="165" t="str">
        <f>VLOOKUP(DATEN!I6,DATEN!$I$1:$J$39,IF($K$3="Deutsch", 1, 2),FALSE)</f>
        <v>Strasse:</v>
      </c>
      <c r="B8" s="167"/>
      <c r="C8" s="11"/>
      <c r="D8" s="212">
        <f>'Bestellung Commande'!C8</f>
        <v>0</v>
      </c>
      <c r="E8" s="212"/>
      <c r="F8" s="212"/>
      <c r="G8" s="225"/>
      <c r="H8" s="225"/>
      <c r="I8" s="225"/>
      <c r="J8" s="225"/>
      <c r="K8" s="225"/>
      <c r="L8" s="225"/>
      <c r="M8" s="225"/>
      <c r="N8" s="225"/>
    </row>
    <row r="9" spans="1:18" ht="15" x14ac:dyDescent="0.25">
      <c r="A9" s="165" t="str">
        <f>VLOOKUP(DATEN!I7,DATEN!$I$1:$J$39,IF($K$3="Deutsch", 1, 2),FALSE)</f>
        <v>PLZ Ort:</v>
      </c>
      <c r="B9" s="167"/>
      <c r="C9" s="11"/>
      <c r="D9" s="212">
        <f>'Bestellung Commande'!C9</f>
        <v>0</v>
      </c>
      <c r="E9" s="212"/>
      <c r="F9" s="212"/>
      <c r="G9" s="225"/>
      <c r="H9" s="225"/>
      <c r="I9" s="225"/>
      <c r="J9" s="225"/>
      <c r="K9" s="225"/>
      <c r="L9" s="225"/>
      <c r="M9" s="225"/>
      <c r="N9" s="225"/>
    </row>
    <row r="10" spans="1:18" ht="15" customHeight="1" x14ac:dyDescent="0.25">
      <c r="A10" s="165" t="str">
        <f>VLOOKUP(DATEN!I8,DATEN!$I$1:$J$39,IF($K$3="Deutsch", 1, 2),FALSE)</f>
        <v>Kontakt:</v>
      </c>
      <c r="B10" s="167"/>
      <c r="C10" s="11"/>
      <c r="D10" s="212">
        <f>'Bestellung Commande'!C10</f>
        <v>0</v>
      </c>
      <c r="E10" s="212"/>
      <c r="F10" s="212"/>
      <c r="G10" s="262" t="str">
        <f>IF(VLOOKUP($A$17,'Bestellung Commande'!$A$27:$O$65,10,FALSE)&lt;&gt;"","Sonderbau!!!","")</f>
        <v/>
      </c>
      <c r="H10" s="262"/>
      <c r="I10" s="262"/>
      <c r="J10" s="262"/>
      <c r="K10" s="262"/>
      <c r="L10" s="262"/>
      <c r="M10" s="262"/>
      <c r="N10" s="262"/>
    </row>
    <row r="11" spans="1:18" ht="15" customHeight="1" x14ac:dyDescent="0.25">
      <c r="A11" s="264" t="s">
        <v>5</v>
      </c>
      <c r="B11" s="264"/>
      <c r="C11" s="264"/>
      <c r="D11" s="264"/>
      <c r="E11" s="264"/>
      <c r="F11" s="264"/>
      <c r="G11" s="262"/>
      <c r="H11" s="262"/>
      <c r="I11" s="262"/>
      <c r="J11" s="262"/>
      <c r="K11" s="262"/>
      <c r="L11" s="262"/>
      <c r="M11" s="262"/>
      <c r="N11" s="262"/>
    </row>
    <row r="12" spans="1:18" ht="15" customHeight="1" x14ac:dyDescent="0.4">
      <c r="A12" s="165" t="str">
        <f>VLOOKUP(DATEN!I6,DATEN!$I$1:$J$39,IF($K$3="Deutsch", 1, 2),FALSE)</f>
        <v>Strasse:</v>
      </c>
      <c r="B12" s="167"/>
      <c r="C12" s="11"/>
      <c r="D12" s="212">
        <f>'Bestellung Commande'!C12</f>
        <v>0</v>
      </c>
      <c r="E12" s="212"/>
      <c r="F12" s="212"/>
      <c r="G12" s="146"/>
      <c r="H12" s="146"/>
      <c r="I12" s="146"/>
      <c r="J12" s="146"/>
      <c r="K12" s="146"/>
      <c r="L12" s="146"/>
      <c r="M12" s="146"/>
      <c r="N12" s="146"/>
    </row>
    <row r="13" spans="1:18" ht="15" customHeight="1" x14ac:dyDescent="0.4">
      <c r="A13" s="165" t="str">
        <f>VLOOKUP(DATEN!I7,DATEN!$I$1:$J$39,IF($K$3="Deutsch", 1, 2),FALSE)</f>
        <v>PLZ Ort:</v>
      </c>
      <c r="B13" s="167"/>
      <c r="C13" s="11"/>
      <c r="D13" s="212">
        <f>'Bestellung Commande'!C13</f>
        <v>0</v>
      </c>
      <c r="E13" s="212"/>
      <c r="F13" s="212"/>
      <c r="G13" s="146"/>
      <c r="H13" s="146"/>
      <c r="I13" s="146"/>
      <c r="J13" s="146"/>
      <c r="K13" s="146"/>
      <c r="L13" s="146"/>
      <c r="M13" s="146"/>
      <c r="N13" s="146"/>
    </row>
    <row r="14" spans="1:18" ht="15" customHeight="1" x14ac:dyDescent="0.4">
      <c r="A14" s="165" t="str">
        <f>VLOOKUP(DATEN!I8,DATEN!$I$1:$J$39,IF($K$3="Deutsch", 1, 2),FALSE)</f>
        <v>Kontakt:</v>
      </c>
      <c r="B14" s="167"/>
      <c r="C14" s="11"/>
      <c r="D14" s="212">
        <f>'Bestellung Commande'!C14</f>
        <v>0</v>
      </c>
      <c r="E14" s="212"/>
      <c r="F14" s="212"/>
      <c r="G14" s="146"/>
      <c r="H14" s="146"/>
      <c r="I14" s="146"/>
      <c r="J14" s="146"/>
      <c r="K14" s="146"/>
      <c r="L14" s="146"/>
      <c r="M14" s="146"/>
      <c r="N14" s="146"/>
    </row>
    <row r="15" spans="1:18" ht="15.75" thickBot="1" x14ac:dyDescent="0.3">
      <c r="A15" s="140" t="str">
        <f>'Bestellung Commande'!A67</f>
        <v>V9.5</v>
      </c>
      <c r="B15" s="14"/>
      <c r="C15" s="14"/>
      <c r="D15" s="15"/>
      <c r="E15" s="15"/>
      <c r="F15" s="15"/>
      <c r="G15" s="13"/>
      <c r="H15" s="13"/>
      <c r="I15" s="13"/>
      <c r="J15" s="13"/>
      <c r="K15" s="13"/>
      <c r="L15" s="13"/>
      <c r="M15" s="16">
        <f>'Bestellung Commande'!N24</f>
        <v>73</v>
      </c>
      <c r="N15" s="13"/>
      <c r="O15" s="20" t="s">
        <v>220</v>
      </c>
      <c r="P15" s="9"/>
      <c r="Q15" s="9"/>
      <c r="R15" s="9"/>
    </row>
    <row r="16" spans="1:18" s="19" customFormat="1" ht="28.5" customHeight="1" x14ac:dyDescent="0.2">
      <c r="A16" s="17" t="s">
        <v>216</v>
      </c>
      <c r="B16" s="176" t="str">
        <f>VLOOKUP(DATEN!I14,DATEN!$I$1:$J$39,IF($K$3="Deutsch", 1, 2),FALSE)</f>
        <v>Anz.
Flügel</v>
      </c>
      <c r="C16" s="176"/>
      <c r="D16" s="17" t="str">
        <f>VLOOKUP(DATEN!I15,DATEN!$I$1:$J$39,IF($K$3="Deutsch", 1, 2),FALSE)</f>
        <v>Stk Schw.</v>
      </c>
      <c r="E16" s="17" t="str">
        <f>VLOOKUP(DATEN!I16,DATEN!$I$1:$J$39,IF($K$3="Deutsch", 1, 2),FALSE)</f>
        <v>RA</v>
      </c>
      <c r="F16" s="17" t="str">
        <f>VLOOKUP(DATEN!I17,DATEN!$I$1:$J$39,IF($K$3="Deutsch", 1, 2),FALSE)</f>
        <v>RBL 
(min45)</v>
      </c>
      <c r="G16" s="17" t="str">
        <f>VLOOKUP(DATEN!I18,DATEN!$I$1:$J$39,IF($K$3="Deutsch", 1, 2),FALSE)</f>
        <v>RBR 
(min45)</v>
      </c>
      <c r="H16" s="17"/>
      <c r="I16" s="184" t="str">
        <f>VLOOKUP(DATEN!I19,DATEN!$I$1:$J$39,IF($K$3="Deutsch", 1, 2),FALSE)</f>
        <v>Verbreiterungen</v>
      </c>
      <c r="J16" s="185"/>
      <c r="K16" s="185"/>
      <c r="L16" s="185"/>
      <c r="M16" s="18" t="str">
        <f>VLOOKUP(DATEN!I20,DATEN!$I$1:$J$39,IF($K$3="Deutsch",1,2),FALSE)</f>
        <v>Total</v>
      </c>
      <c r="N16" s="17"/>
      <c r="O16" s="20" t="str">
        <f>E25</f>
        <v>Profil</v>
      </c>
      <c r="P16" s="20" t="str">
        <f>A26</f>
        <v>Links</v>
      </c>
      <c r="Q16" s="20" t="str">
        <f>A27</f>
        <v>Rechts</v>
      </c>
      <c r="R16" s="20" t="str">
        <f>A28</f>
        <v>Mittelteil</v>
      </c>
    </row>
    <row r="17" spans="1:24" ht="15" thickBot="1" x14ac:dyDescent="0.25">
      <c r="A17" s="41">
        <v>6</v>
      </c>
      <c r="B17" s="268">
        <f>VLOOKUP($A$17,'Bestellung Commande'!$A$27:$O$65,3,FALSE)</f>
        <v>0</v>
      </c>
      <c r="C17" s="268"/>
      <c r="D17" s="41">
        <f>VLOOKUP($A$17,'Bestellung Commande'!$A$27:$O$65,5,FALSE)</f>
        <v>0</v>
      </c>
      <c r="E17" s="41">
        <f>VLOOKUP($A$17,'Bestellung Commande'!$A$27:$O$65,6,FALSE)</f>
        <v>0</v>
      </c>
      <c r="F17" s="41">
        <f>VLOOKUP($A$17,'Bestellung Commande'!$A$27:$O$65,7,FALSE)</f>
        <v>0</v>
      </c>
      <c r="G17" s="41">
        <f>VLOOKUP($A$17,'Bestellung Commande'!$A$27:$O$65,8,FALSE)</f>
        <v>0</v>
      </c>
      <c r="H17" s="41">
        <f>VLOOKUP($A$17,'Bestellung Commande'!$A$27:$O$65,9,FALSE)</f>
        <v>0</v>
      </c>
      <c r="I17" s="22">
        <f>VLOOKUP($A$17,'Bestellung Commande'!$A$27:$O$65,10,FALSE)</f>
        <v>0</v>
      </c>
      <c r="J17" s="23">
        <f>VLOOKUP($A$17,'Bestellung Commande'!$A$27:$O$65,11,FALSE)</f>
        <v>0</v>
      </c>
      <c r="K17" s="23">
        <f>VLOOKUP($A$17,'Bestellung Commande'!$A$27:$O$65,12,FALSE)</f>
        <v>0</v>
      </c>
      <c r="L17" s="23">
        <f>VLOOKUP($A$17,'Bestellung Commande'!$A$27:$O$65,13,FALSE)</f>
        <v>0</v>
      </c>
      <c r="M17" s="125">
        <f>VLOOKUP($A$17,'Bestellung Commande'!$A$27:$O$65,14,FALSE)</f>
        <v>0</v>
      </c>
      <c r="N17" s="24"/>
      <c r="O17" s="9" t="str">
        <f>F25</f>
        <v>C298927</v>
      </c>
      <c r="P17" s="29">
        <f>F26</f>
        <v>20</v>
      </c>
      <c r="Q17" s="29">
        <f>F27</f>
        <v>20</v>
      </c>
      <c r="R17" s="29">
        <f>F28</f>
        <v>-42</v>
      </c>
    </row>
    <row r="18" spans="1:24" x14ac:dyDescent="0.2">
      <c r="B18" s="41" cm="1">
        <f t="array" ref="B18">INDEX('Bestellung Commande'!$C$27:$C$66, MATCH($A$17, 'Bestellung Commande'!$A$27:$A$66, 0) + 1)</f>
        <v>0</v>
      </c>
      <c r="C18" s="41" cm="1">
        <f t="array" ref="C18">INDEX('Bestellung Commande'!$D$27:$D$66, MATCH($A$17, 'Bestellung Commande'!$A$27:$A$66, 0) + 1)</f>
        <v>0</v>
      </c>
    </row>
    <row r="20" spans="1:24" ht="15" x14ac:dyDescent="0.25">
      <c r="A20" s="267" t="s">
        <v>10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</row>
    <row r="21" spans="1:24" ht="15" x14ac:dyDescent="0.25">
      <c r="E21" s="25" t="s">
        <v>11</v>
      </c>
      <c r="F21" s="9" t="s">
        <v>12</v>
      </c>
      <c r="G21"/>
      <c r="H21"/>
      <c r="I21"/>
    </row>
    <row r="22" spans="1:24" x14ac:dyDescent="0.2">
      <c r="E22" t="s">
        <v>13</v>
      </c>
      <c r="F22" s="26">
        <f>E17</f>
        <v>0</v>
      </c>
      <c r="G22"/>
      <c r="H22"/>
      <c r="I22"/>
    </row>
    <row r="23" spans="1:24" x14ac:dyDescent="0.2">
      <c r="F23" s="9">
        <f>B17</f>
        <v>0</v>
      </c>
      <c r="G23"/>
      <c r="H23"/>
      <c r="I23"/>
    </row>
    <row r="24" spans="1:24" ht="15" x14ac:dyDescent="0.25">
      <c r="A24" s="267" t="s">
        <v>14</v>
      </c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</row>
    <row r="25" spans="1:24" ht="15" x14ac:dyDescent="0.25">
      <c r="E25" s="25" t="s">
        <v>11</v>
      </c>
      <c r="F25" s="9" t="s">
        <v>15</v>
      </c>
      <c r="G25"/>
      <c r="H25"/>
      <c r="I25"/>
    </row>
    <row r="26" spans="1:24" x14ac:dyDescent="0.2">
      <c r="A26" t="s">
        <v>16</v>
      </c>
      <c r="E26" t="s">
        <v>13</v>
      </c>
      <c r="F26" s="26">
        <f>F17+20</f>
        <v>20</v>
      </c>
      <c r="G26"/>
      <c r="H26"/>
      <c r="I26"/>
      <c r="W26" s="121" t="s">
        <v>208</v>
      </c>
      <c r="X26" s="122">
        <f>F37-F36</f>
        <v>-100</v>
      </c>
    </row>
    <row r="27" spans="1:24" x14ac:dyDescent="0.2">
      <c r="A27" t="s">
        <v>17</v>
      </c>
      <c r="E27" t="s">
        <v>13</v>
      </c>
      <c r="F27" s="26">
        <f>G17+20</f>
        <v>20</v>
      </c>
      <c r="G27"/>
      <c r="H27"/>
      <c r="I27"/>
      <c r="W27" t="s">
        <v>209</v>
      </c>
      <c r="X27">
        <f>[1]DATEN!D14</f>
        <v>300</v>
      </c>
    </row>
    <row r="28" spans="1:24" x14ac:dyDescent="0.2">
      <c r="A28" t="s">
        <v>18</v>
      </c>
      <c r="E28" t="s">
        <v>13</v>
      </c>
      <c r="F28" s="26">
        <f>(E17-(F26+F27))-2</f>
        <v>-42</v>
      </c>
      <c r="G28"/>
      <c r="H28"/>
      <c r="I28"/>
      <c r="P28" t="s">
        <v>293</v>
      </c>
      <c r="T28" t="s">
        <v>294</v>
      </c>
      <c r="W28" t="s">
        <v>210</v>
      </c>
      <c r="X28">
        <f>ROUNDUP(X26/X27,0)</f>
        <v>-1</v>
      </c>
    </row>
    <row r="29" spans="1:24" ht="15" x14ac:dyDescent="0.25">
      <c r="A29" s="267" t="s">
        <v>19</v>
      </c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7" t="str">
        <f t="shared" ref="O29:O39" si="0">IF(AND($F$32&gt;=Q29,$F$32&lt;R29),P29,"")</f>
        <v/>
      </c>
      <c r="P29" s="28" t="str">
        <f>" "</f>
        <v xml:space="preserve"> </v>
      </c>
      <c r="Q29" s="28">
        <v>-1000000</v>
      </c>
      <c r="R29" s="28">
        <v>0</v>
      </c>
      <c r="S29" s="27" t="str">
        <f t="shared" ref="S29:S39" si="1">IF(AND($G$32&gt;=U29,$G$32&lt;V29),T29,"")</f>
        <v/>
      </c>
      <c r="T29" s="28" t="str">
        <f t="shared" ref="T29:T30" si="2">P29</f>
        <v xml:space="preserve"> </v>
      </c>
      <c r="U29" s="28">
        <f t="shared" ref="U29:U30" si="3">Q29</f>
        <v>-1000000</v>
      </c>
      <c r="V29" s="28">
        <f t="shared" ref="V29:V30" si="4">R29</f>
        <v>0</v>
      </c>
      <c r="W29" t="s">
        <v>211</v>
      </c>
      <c r="X29">
        <f>X26/X28</f>
        <v>100</v>
      </c>
    </row>
    <row r="30" spans="1:24" ht="15" x14ac:dyDescent="0.25">
      <c r="F30" s="25" t="s">
        <v>293</v>
      </c>
      <c r="G30" s="25" t="s">
        <v>294</v>
      </c>
      <c r="H30"/>
      <c r="I30"/>
      <c r="K30"/>
      <c r="N30"/>
      <c r="O30" s="27" t="str">
        <f t="shared" si="0"/>
        <v/>
      </c>
      <c r="P30" s="28"/>
      <c r="Q30" s="28">
        <v>0.1</v>
      </c>
      <c r="R30" s="28">
        <v>247.9</v>
      </c>
      <c r="S30" s="27" t="str">
        <f t="shared" si="1"/>
        <v/>
      </c>
      <c r="T30" s="28">
        <f t="shared" si="2"/>
        <v>0</v>
      </c>
      <c r="U30" s="28">
        <f t="shared" si="3"/>
        <v>0.1</v>
      </c>
      <c r="V30" s="28">
        <f t="shared" si="4"/>
        <v>247.9</v>
      </c>
    </row>
    <row r="31" spans="1:24" x14ac:dyDescent="0.2">
      <c r="F31" s="9" t="str">
        <f>O29&amp;O31&amp;O32&amp;O33&amp;O34&amp;O35&amp;O36&amp;O37&amp;O38&amp;O39</f>
        <v/>
      </c>
      <c r="G31" s="9" t="str">
        <f>S29&amp;S31&amp;S32&amp;S33&amp;S34&amp;S35&amp;S36&amp;S37&amp;S38&amp;S39</f>
        <v/>
      </c>
      <c r="I31"/>
      <c r="O31" s="27" t="str">
        <f t="shared" si="0"/>
        <v/>
      </c>
      <c r="P31" s="28" t="str">
        <f>DATEN!M7</f>
        <v>C555366</v>
      </c>
      <c r="Q31" s="28">
        <f>DATEN!N7</f>
        <v>275</v>
      </c>
      <c r="R31" s="28">
        <f>DATEN!O7</f>
        <v>400</v>
      </c>
      <c r="S31" s="27" t="str">
        <f t="shared" si="1"/>
        <v/>
      </c>
      <c r="T31" s="28" t="str">
        <f>P31</f>
        <v>C555366</v>
      </c>
      <c r="U31" s="28">
        <f t="shared" ref="U31:V39" si="5">Q31</f>
        <v>275</v>
      </c>
      <c r="V31" s="28">
        <f t="shared" si="5"/>
        <v>400</v>
      </c>
      <c r="W31">
        <v>1</v>
      </c>
      <c r="X31" s="29">
        <f>F36</f>
        <v>50</v>
      </c>
    </row>
    <row r="32" spans="1:24" x14ac:dyDescent="0.2">
      <c r="A32" t="s">
        <v>13</v>
      </c>
      <c r="F32" s="26" t="b">
        <f>IF(AND(B17=1,B18=0),H17,IF(AND(B17=1,B18&gt;0),B18,IF(AND(B17=2,B18=0),(H17-20)/2,IF(AND(B17=2,B18&gt;0),B18))))</f>
        <v>0</v>
      </c>
      <c r="G32" s="26">
        <f>IF(B17=1,0,IF(AND(B17=2,C18=0),0,C18))</f>
        <v>0</v>
      </c>
      <c r="I32"/>
      <c r="O32" s="27" t="str">
        <f t="shared" si="0"/>
        <v/>
      </c>
      <c r="P32" s="28" t="str">
        <f>DATEN!M8</f>
        <v>C555367</v>
      </c>
      <c r="Q32" s="28">
        <f>DATEN!N8</f>
        <v>400</v>
      </c>
      <c r="R32" s="28">
        <f>DATEN!O8</f>
        <v>550</v>
      </c>
      <c r="S32" s="27" t="str">
        <f t="shared" si="1"/>
        <v/>
      </c>
      <c r="T32" s="28" t="str">
        <f t="shared" ref="T32:T39" si="6">P32</f>
        <v>C555367</v>
      </c>
      <c r="U32" s="28">
        <f t="shared" si="5"/>
        <v>400</v>
      </c>
      <c r="V32" s="28">
        <f t="shared" si="5"/>
        <v>550</v>
      </c>
      <c r="W32">
        <v>2</v>
      </c>
      <c r="X32" s="29">
        <f>ROUND(IF(W32-1&gt;$X$28,0,X31+$X$29),0)</f>
        <v>0</v>
      </c>
    </row>
    <row r="33" spans="1:24" x14ac:dyDescent="0.2">
      <c r="A33" t="s">
        <v>23</v>
      </c>
      <c r="F33" s="30">
        <f>IF(AND(B17=2,B18=0),B17,1)*D17</f>
        <v>0</v>
      </c>
      <c r="G33" s="30">
        <f>IF(G32&gt;0,1,0)*D17</f>
        <v>0</v>
      </c>
      <c r="I33"/>
      <c r="O33" s="27" t="str">
        <f t="shared" si="0"/>
        <v/>
      </c>
      <c r="P33" s="28" t="str">
        <f>DATEN!M9</f>
        <v>C555368</v>
      </c>
      <c r="Q33" s="28">
        <f>DATEN!N9</f>
        <v>550</v>
      </c>
      <c r="R33" s="28">
        <f>DATEN!O9</f>
        <v>700</v>
      </c>
      <c r="S33" s="27" t="str">
        <f t="shared" si="1"/>
        <v/>
      </c>
      <c r="T33" s="28" t="str">
        <f t="shared" si="6"/>
        <v>C555368</v>
      </c>
      <c r="U33" s="28">
        <f t="shared" si="5"/>
        <v>550</v>
      </c>
      <c r="V33" s="28">
        <f t="shared" si="5"/>
        <v>700</v>
      </c>
      <c r="W33">
        <v>3</v>
      </c>
      <c r="X33" s="29">
        <f t="shared" ref="X33:X40" si="7">ROUND(IF(W33-1&gt;$X$28,0,X32+$X$29),0)</f>
        <v>0</v>
      </c>
    </row>
    <row r="34" spans="1:24" ht="15" x14ac:dyDescent="0.25">
      <c r="A34" s="267" t="s">
        <v>25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7" t="str">
        <f>IF(AND($F$32&gt;=Q34,$F$32&lt;R34),P34,"")</f>
        <v/>
      </c>
      <c r="P34" s="28" t="str">
        <f>DATEN!M10</f>
        <v>C555369</v>
      </c>
      <c r="Q34" s="28">
        <f>DATEN!N10</f>
        <v>700</v>
      </c>
      <c r="R34" s="28">
        <f>DATEN!O10</f>
        <v>850</v>
      </c>
      <c r="S34" s="27" t="str">
        <f t="shared" si="1"/>
        <v/>
      </c>
      <c r="T34" s="28" t="str">
        <f t="shared" si="6"/>
        <v>C555369</v>
      </c>
      <c r="U34" s="28">
        <f t="shared" si="5"/>
        <v>700</v>
      </c>
      <c r="V34" s="28">
        <f t="shared" si="5"/>
        <v>850</v>
      </c>
      <c r="W34">
        <v>4</v>
      </c>
      <c r="X34" s="29">
        <f t="shared" si="7"/>
        <v>0</v>
      </c>
    </row>
    <row r="35" spans="1:24" ht="15" x14ac:dyDescent="0.25">
      <c r="A35" s="31" t="s">
        <v>27</v>
      </c>
      <c r="F35" s="9" t="s">
        <v>28</v>
      </c>
      <c r="G35" s="32" t="s">
        <v>29</v>
      </c>
      <c r="H35" s="32"/>
      <c r="I35"/>
      <c r="O35" s="27" t="str">
        <f t="shared" si="0"/>
        <v/>
      </c>
      <c r="P35" s="28" t="str">
        <f>DATEN!M11</f>
        <v>C555370</v>
      </c>
      <c r="Q35" s="28">
        <f>DATEN!N11</f>
        <v>850</v>
      </c>
      <c r="R35" s="28">
        <f>DATEN!O11</f>
        <v>1000</v>
      </c>
      <c r="S35" s="27" t="str">
        <f>IF(AND($G$32&gt;=U35,$G$32&lt;V35),T35,"")</f>
        <v/>
      </c>
      <c r="T35" s="28" t="str">
        <f t="shared" si="6"/>
        <v>C555370</v>
      </c>
      <c r="U35" s="28">
        <f t="shared" si="5"/>
        <v>850</v>
      </c>
      <c r="V35" s="28">
        <f t="shared" si="5"/>
        <v>1000</v>
      </c>
      <c r="W35">
        <v>5</v>
      </c>
      <c r="X35" s="29">
        <f t="shared" si="7"/>
        <v>0</v>
      </c>
    </row>
    <row r="36" spans="1:24" x14ac:dyDescent="0.2">
      <c r="A36" t="s">
        <v>31</v>
      </c>
      <c r="F36" s="26">
        <f>F17+50</f>
        <v>50</v>
      </c>
      <c r="G36"/>
      <c r="H36" t="s">
        <v>206</v>
      </c>
      <c r="I36"/>
      <c r="O36" s="27" t="str">
        <f t="shared" si="0"/>
        <v/>
      </c>
      <c r="P36" s="28" t="str">
        <f>DATEN!M12</f>
        <v>C555371</v>
      </c>
      <c r="Q36" s="28">
        <f>DATEN!N12</f>
        <v>1000</v>
      </c>
      <c r="R36" s="28">
        <f>DATEN!O12</f>
        <v>1150</v>
      </c>
      <c r="S36" s="27" t="str">
        <f t="shared" si="1"/>
        <v/>
      </c>
      <c r="T36" s="28" t="str">
        <f t="shared" si="6"/>
        <v>C555371</v>
      </c>
      <c r="U36" s="28">
        <f t="shared" si="5"/>
        <v>1000</v>
      </c>
      <c r="V36" s="28">
        <f t="shared" si="5"/>
        <v>1150</v>
      </c>
      <c r="W36">
        <v>6</v>
      </c>
      <c r="X36" s="29">
        <f t="shared" si="7"/>
        <v>0</v>
      </c>
    </row>
    <row r="37" spans="1:24" x14ac:dyDescent="0.2">
      <c r="A37" t="s">
        <v>33</v>
      </c>
      <c r="F37" s="26">
        <f>F17+H17-DATEN!$D$13</f>
        <v>-50</v>
      </c>
      <c r="H37" t="s">
        <v>36</v>
      </c>
      <c r="I37"/>
      <c r="J37" s="9">
        <f>X28+1</f>
        <v>0</v>
      </c>
      <c r="O37" s="27" t="str">
        <f t="shared" si="0"/>
        <v/>
      </c>
      <c r="P37" s="28" t="str">
        <f>DATEN!M13</f>
        <v>C555372</v>
      </c>
      <c r="Q37" s="28">
        <f>DATEN!N13</f>
        <v>1150</v>
      </c>
      <c r="R37" s="28">
        <f>DATEN!O13</f>
        <v>1300</v>
      </c>
      <c r="S37" s="27" t="str">
        <f t="shared" si="1"/>
        <v/>
      </c>
      <c r="T37" s="28" t="str">
        <f t="shared" si="6"/>
        <v>C555372</v>
      </c>
      <c r="U37" s="28">
        <f t="shared" si="5"/>
        <v>1150</v>
      </c>
      <c r="V37" s="28">
        <f t="shared" si="5"/>
        <v>1300</v>
      </c>
      <c r="W37">
        <v>7</v>
      </c>
      <c r="X37" s="29">
        <f t="shared" si="7"/>
        <v>0</v>
      </c>
    </row>
    <row r="38" spans="1:24" x14ac:dyDescent="0.2">
      <c r="A38" s="33" t="s">
        <v>35</v>
      </c>
      <c r="F38" s="123" t="str">
        <f>X31&amp;IF(X32="",""," / ")&amp;X32  &amp; IF(X33="",""," / ")&amp;X33&amp; IF(X34="",""," / ")&amp;X34&amp; IF(X35="",""," / ")&amp;X35&amp; IF(X36="",""," / ")&amp;X36&amp; IF(X37="",""," / ")&amp;X37&amp; IF(X38="",""," / ")&amp;X38&amp; IF(X39="",""," / ")&amp;X39&amp; IF(X40="",""," / ")&amp;X40</f>
        <v>50 / 0 / 0 / 0 / 0 / 0 / 0 / 0 / 0 / 0</v>
      </c>
      <c r="O38" s="27" t="str">
        <f t="shared" si="0"/>
        <v/>
      </c>
      <c r="P38" s="28" t="str">
        <f>DATEN!M14</f>
        <v>C555373</v>
      </c>
      <c r="Q38" s="28">
        <f>DATEN!N14</f>
        <v>1300</v>
      </c>
      <c r="R38" s="28">
        <f>DATEN!O14</f>
        <v>1450</v>
      </c>
      <c r="S38" s="27" t="str">
        <f t="shared" si="1"/>
        <v/>
      </c>
      <c r="T38" s="28" t="str">
        <f t="shared" si="6"/>
        <v>C555373</v>
      </c>
      <c r="U38" s="28">
        <f t="shared" si="5"/>
        <v>1300</v>
      </c>
      <c r="V38" s="28">
        <f t="shared" si="5"/>
        <v>1450</v>
      </c>
      <c r="W38">
        <v>8</v>
      </c>
      <c r="X38" s="29">
        <f t="shared" si="7"/>
        <v>0</v>
      </c>
    </row>
    <row r="39" spans="1:24" x14ac:dyDescent="0.2">
      <c r="F39" s="9"/>
      <c r="G39"/>
      <c r="H39"/>
      <c r="I39"/>
      <c r="O39" s="27" t="str">
        <f t="shared" si="0"/>
        <v/>
      </c>
      <c r="P39" s="28" t="str">
        <f>DATEN!M15</f>
        <v>Zu Lang</v>
      </c>
      <c r="Q39" s="28">
        <f>DATEN!N15</f>
        <v>1450.1</v>
      </c>
      <c r="R39" s="28">
        <f>DATEN!O15</f>
        <v>1000000</v>
      </c>
      <c r="S39" s="27" t="str">
        <f t="shared" si="1"/>
        <v/>
      </c>
      <c r="T39" s="28" t="str">
        <f t="shared" si="6"/>
        <v>Zu Lang</v>
      </c>
      <c r="U39" s="28">
        <f t="shared" si="5"/>
        <v>1450.1</v>
      </c>
      <c r="V39" s="28">
        <f t="shared" si="5"/>
        <v>1000000</v>
      </c>
      <c r="W39">
        <v>9</v>
      </c>
      <c r="X39" s="29">
        <f t="shared" si="7"/>
        <v>0</v>
      </c>
    </row>
    <row r="40" spans="1:24" ht="15" x14ac:dyDescent="0.25">
      <c r="A40" s="267" t="s">
        <v>39</v>
      </c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W40">
        <v>10</v>
      </c>
      <c r="X40" s="29">
        <f t="shared" si="7"/>
        <v>0</v>
      </c>
    </row>
    <row r="41" spans="1:24" x14ac:dyDescent="0.2">
      <c r="A41" t="s">
        <v>41</v>
      </c>
      <c r="F41" s="26">
        <f>G17-15</f>
        <v>-15</v>
      </c>
      <c r="G41"/>
      <c r="H41"/>
      <c r="I41"/>
    </row>
    <row r="42" spans="1:24" x14ac:dyDescent="0.2">
      <c r="A42" t="s">
        <v>42</v>
      </c>
      <c r="F42" s="26">
        <f>E17-G17+15</f>
        <v>15</v>
      </c>
      <c r="G42"/>
      <c r="H42"/>
      <c r="I42"/>
    </row>
    <row r="43" spans="1:24" x14ac:dyDescent="0.2">
      <c r="A43" t="s">
        <v>43</v>
      </c>
      <c r="F43" s="26">
        <f>G17-35</f>
        <v>-35</v>
      </c>
      <c r="G43"/>
      <c r="H43"/>
      <c r="I43"/>
    </row>
    <row r="44" spans="1:24" x14ac:dyDescent="0.2">
      <c r="A44" t="s">
        <v>44</v>
      </c>
      <c r="F44" s="26">
        <f>E17-G17+35</f>
        <v>35</v>
      </c>
      <c r="G44"/>
      <c r="H44"/>
      <c r="I44"/>
    </row>
    <row r="45" spans="1:24" x14ac:dyDescent="0.2">
      <c r="A45" t="s">
        <v>45</v>
      </c>
      <c r="F45" s="26">
        <f>F17-23</f>
        <v>-23</v>
      </c>
      <c r="G45"/>
      <c r="H45"/>
      <c r="I45"/>
    </row>
    <row r="46" spans="1:24" x14ac:dyDescent="0.2">
      <c r="A46" t="s">
        <v>46</v>
      </c>
      <c r="F46" s="26">
        <f>E17-G17+23</f>
        <v>23</v>
      </c>
      <c r="G46"/>
      <c r="H46"/>
      <c r="I46"/>
    </row>
    <row r="47" spans="1:24" x14ac:dyDescent="0.2">
      <c r="F47" s="9"/>
      <c r="G47"/>
      <c r="H47"/>
      <c r="I47"/>
      <c r="P47" s="9"/>
    </row>
    <row r="48" spans="1:24" ht="15" x14ac:dyDescent="0.25">
      <c r="A48" s="34" t="s">
        <v>47</v>
      </c>
      <c r="B48" s="35"/>
      <c r="C48" s="35"/>
      <c r="D48" s="35"/>
      <c r="E48" s="35"/>
      <c r="F48" s="35" t="s">
        <v>48</v>
      </c>
      <c r="G48" s="35"/>
      <c r="H48" s="35"/>
      <c r="I48" s="35"/>
      <c r="J48" s="35"/>
      <c r="K48" s="35"/>
      <c r="L48" s="35"/>
    </row>
    <row r="49" spans="1:14" x14ac:dyDescent="0.2">
      <c r="A49" t="s">
        <v>49</v>
      </c>
      <c r="F49" s="26">
        <v>25</v>
      </c>
      <c r="G49"/>
      <c r="H49"/>
      <c r="I49"/>
    </row>
    <row r="50" spans="1:14" x14ac:dyDescent="0.2">
      <c r="A50" t="s">
        <v>33</v>
      </c>
      <c r="F50" s="26">
        <f>F28-25</f>
        <v>-67</v>
      </c>
      <c r="G50"/>
      <c r="H50"/>
      <c r="I50"/>
    </row>
    <row r="51" spans="1:14" x14ac:dyDescent="0.2">
      <c r="A51" s="33" t="s">
        <v>35</v>
      </c>
      <c r="F51" s="36" t="s">
        <v>50</v>
      </c>
      <c r="G51"/>
      <c r="H51"/>
      <c r="I51" t="s">
        <v>36</v>
      </c>
    </row>
    <row r="52" spans="1:14" x14ac:dyDescent="0.2">
      <c r="F52" s="129" t="str">
        <f>IF(B17=2,"Achtung!! 2 Flüglig!! Mittleres Loch auslassen","")</f>
        <v/>
      </c>
      <c r="G52"/>
      <c r="H52"/>
      <c r="I52"/>
    </row>
    <row r="53" spans="1:14" ht="15" x14ac:dyDescent="0.25">
      <c r="A53" s="267" t="s">
        <v>51</v>
      </c>
      <c r="B53" s="267"/>
      <c r="C53" s="267"/>
      <c r="D53" s="267"/>
      <c r="E53" s="267"/>
      <c r="F53" s="267"/>
      <c r="G53" s="267"/>
      <c r="H53" s="267"/>
      <c r="I53" s="267"/>
      <c r="J53" s="267"/>
      <c r="K53" s="267"/>
      <c r="L53" s="267"/>
    </row>
    <row r="54" spans="1:14" x14ac:dyDescent="0.2">
      <c r="A54" s="35" t="s">
        <v>52</v>
      </c>
      <c r="B54" s="37" t="s">
        <v>53</v>
      </c>
      <c r="C54" s="37"/>
      <c r="D54" s="206" t="s">
        <v>54</v>
      </c>
      <c r="E54" s="206"/>
      <c r="F54" s="35" t="s">
        <v>55</v>
      </c>
      <c r="G54" s="35"/>
      <c r="H54" s="35"/>
      <c r="I54" s="35"/>
      <c r="J54" s="35"/>
      <c r="K54" s="266" t="s">
        <v>13</v>
      </c>
      <c r="L54" s="266"/>
    </row>
    <row r="55" spans="1:14" x14ac:dyDescent="0.2">
      <c r="A55" s="12">
        <v>1</v>
      </c>
      <c r="B55" s="9">
        <f>VLOOKUP(A17,'Bestellung Commande'!A27:O65,11,FALSE)</f>
        <v>0</v>
      </c>
      <c r="C55" s="9"/>
      <c r="D55" s="252">
        <f>IF(ISERROR(VLOOKUP($B55,DATEN!$A$3:$D$10,2,FALSE)),"",VLOOKUP($B55,DATEN!$A$3:$D$10,2,FALSE))</f>
        <v>0</v>
      </c>
      <c r="E55" s="252"/>
      <c r="F55" s="12">
        <f>IF(ISERROR(VLOOKUP($B55,DATEN!$A$3:$D$10,3,FALSE)),"",VLOOKUP($B55,DATEN!$A$3:$D$10,3,FALSE))</f>
        <v>0</v>
      </c>
      <c r="G55"/>
      <c r="H55"/>
      <c r="K55" s="265">
        <f>$F$22</f>
        <v>0</v>
      </c>
      <c r="L55" s="265"/>
    </row>
    <row r="56" spans="1:14" x14ac:dyDescent="0.2">
      <c r="A56" s="12">
        <v>2</v>
      </c>
      <c r="B56" s="9">
        <f>VLOOKUP(A17,'Bestellung Commande'!A27:O65,12,FALSE)</f>
        <v>0</v>
      </c>
      <c r="C56" s="9"/>
      <c r="D56" s="252">
        <f>IF(ISERROR(VLOOKUP($B56,DATEN!$A$3:$D$10,2,FALSE)),"",VLOOKUP($B56,DATEN!$A$3:$D$10,2,FALSE))</f>
        <v>0</v>
      </c>
      <c r="E56" s="252"/>
      <c r="F56" s="9">
        <f>IF(ISERROR(VLOOKUP($B56,DATEN!$A$3:$D$10,3,FALSE)),"",VLOOKUP($B56,DATEN!$A$3:$D$10,3,FALSE))</f>
        <v>0</v>
      </c>
      <c r="G56"/>
      <c r="H56"/>
      <c r="K56" s="265">
        <f t="shared" ref="K56:K58" si="8">$F$22</f>
        <v>0</v>
      </c>
      <c r="L56" s="265"/>
    </row>
    <row r="57" spans="1:14" x14ac:dyDescent="0.2">
      <c r="A57" s="12">
        <v>3</v>
      </c>
      <c r="B57" s="9">
        <f>VLOOKUP(A17,'Bestellung Commande'!A27:O65,13,FALSE)</f>
        <v>0</v>
      </c>
      <c r="C57" s="9"/>
      <c r="D57" s="252">
        <f>IF(ISERROR(VLOOKUP($B57,DATEN!$A$3:$D$10,2,FALSE)),"",VLOOKUP($B57,DATEN!$A$3:$D$10,2,FALSE))</f>
        <v>0</v>
      </c>
      <c r="E57" s="252"/>
      <c r="F57" s="9">
        <f>IF(ISERROR(VLOOKUP($B57,DATEN!$A$3:$D$10,3,FALSE)),"",VLOOKUP($B57,DATEN!$A$3:$D$10,3,FALSE))</f>
        <v>0</v>
      </c>
      <c r="K57" s="265">
        <f t="shared" si="8"/>
        <v>0</v>
      </c>
      <c r="L57" s="265"/>
    </row>
    <row r="58" spans="1:14" x14ac:dyDescent="0.2">
      <c r="A58" s="12">
        <v>4</v>
      </c>
      <c r="B58" s="9">
        <f>VLOOKUP(A17,'Bestellung Commande'!A27:O65,14,FALSE)</f>
        <v>0</v>
      </c>
      <c r="C58" s="9"/>
      <c r="D58" s="252">
        <f>IF(ISERROR(VLOOKUP($B58,DATEN!$A$3:$D$10,2,FALSE)),"",VLOOKUP($B58,DATEN!$A$3:$D$10,2,FALSE))</f>
        <v>0</v>
      </c>
      <c r="E58" s="252"/>
      <c r="F58" s="9">
        <f>IF(ISERROR(VLOOKUP($B58,DATEN!$A$3:$D$10,3,FALSE)),"",VLOOKUP($B58,DATEN!$A$3:$D$10,3,FALSE))</f>
        <v>0</v>
      </c>
      <c r="K58" s="265">
        <f t="shared" si="8"/>
        <v>0</v>
      </c>
      <c r="L58" s="265"/>
      <c r="N58" s="46">
        <f>'Bestellung Commande'!B44</f>
        <v>0</v>
      </c>
    </row>
  </sheetData>
  <sheetProtection algorithmName="SHA-512" hashValue="akjpZT1s1eZU6NNRQdYNU0rOz5zI7pGaF7mIidbAvp0Roa4FKx2fmUl9lc7FFmraOWBptlpf2rn7vHFnZvvszg==" saltValue="o+p9eCOr97PMHfU0x88aJg==" spinCount="100000" sheet="1" objects="1" scenarios="1"/>
  <mergeCells count="52">
    <mergeCell ref="D57:E57"/>
    <mergeCell ref="K57:L57"/>
    <mergeCell ref="D58:E58"/>
    <mergeCell ref="K58:L58"/>
    <mergeCell ref="A53:L53"/>
    <mergeCell ref="D54:E54"/>
    <mergeCell ref="K54:L54"/>
    <mergeCell ref="D55:E55"/>
    <mergeCell ref="K55:L55"/>
    <mergeCell ref="D56:E56"/>
    <mergeCell ref="K56:L56"/>
    <mergeCell ref="A40:L40"/>
    <mergeCell ref="A13:B13"/>
    <mergeCell ref="D13:F13"/>
    <mergeCell ref="A14:B14"/>
    <mergeCell ref="D14:F14"/>
    <mergeCell ref="B16:C16"/>
    <mergeCell ref="I16:L16"/>
    <mergeCell ref="B17:C17"/>
    <mergeCell ref="A20:N20"/>
    <mergeCell ref="A24:N24"/>
    <mergeCell ref="A29:N29"/>
    <mergeCell ref="A34:N34"/>
    <mergeCell ref="A10:B10"/>
    <mergeCell ref="D10:F10"/>
    <mergeCell ref="G10:N11"/>
    <mergeCell ref="A11:F11"/>
    <mergeCell ref="A12:B12"/>
    <mergeCell ref="D12:F12"/>
    <mergeCell ref="A6:B6"/>
    <mergeCell ref="D6:F6"/>
    <mergeCell ref="G6:N6"/>
    <mergeCell ref="A7:F7"/>
    <mergeCell ref="G7:N9"/>
    <mergeCell ref="A8:B8"/>
    <mergeCell ref="D8:F8"/>
    <mergeCell ref="A9:B9"/>
    <mergeCell ref="D9:F9"/>
    <mergeCell ref="D4:F4"/>
    <mergeCell ref="G4:J4"/>
    <mergeCell ref="K4:N4"/>
    <mergeCell ref="A5:B5"/>
    <mergeCell ref="D5:F5"/>
    <mergeCell ref="G5:J5"/>
    <mergeCell ref="K5:N5"/>
    <mergeCell ref="A1:N1"/>
    <mergeCell ref="A2:F2"/>
    <mergeCell ref="G2:N2"/>
    <mergeCell ref="A3:B3"/>
    <mergeCell ref="D3:F3"/>
    <mergeCell ref="G3:J3"/>
    <mergeCell ref="K3:N3"/>
  </mergeCells>
  <printOptions horizontalCentered="1"/>
  <pageMargins left="0.27" right="0.31" top="0.74803149606299213" bottom="0.74803149606299213" header="0.31496062992125984" footer="0.31496062992125984"/>
  <pageSetup paperSize="9" scale="87" orientation="portrait" r:id="rId1"/>
  <headerFooter>
    <oddHeader>&amp;R&amp;G</oddHeader>
    <oddFooter>&amp;LDuckdatum: &amp;D
&amp;F&amp;R&amp;P/&amp;N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C624F91-05EB-4BB0-A3A2-A329152A2790}">
          <x14:formula1>
            <xm:f>DATEN!$I$1:$J$1</xm:f>
          </x14:formula1>
          <xm:sqref>K3:N3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85600-C8AC-4C32-84CD-69ED4956AEC0}">
  <sheetPr codeName="Tabelle10"/>
  <dimension ref="A1:X58"/>
  <sheetViews>
    <sheetView view="pageBreakPreview" topLeftCell="A3" zoomScaleNormal="120" zoomScaleSheetLayoutView="100" workbookViewId="0">
      <selection activeCell="A12" sqref="A12:B12"/>
    </sheetView>
  </sheetViews>
  <sheetFormatPr baseColWidth="10" defaultColWidth="11" defaultRowHeight="14.25" x14ac:dyDescent="0.2"/>
  <cols>
    <col min="1" max="3" width="8.875" customWidth="1"/>
    <col min="4" max="5" width="6.5" customWidth="1"/>
    <col min="6" max="6" width="10.625" customWidth="1"/>
    <col min="7" max="7" width="8.75" style="9" customWidth="1"/>
    <col min="8" max="8" width="8.875" style="9" customWidth="1"/>
    <col min="9" max="9" width="4.875" style="9" customWidth="1"/>
    <col min="10" max="10" width="8.75" customWidth="1"/>
    <col min="11" max="11" width="4.5" style="9" customWidth="1"/>
    <col min="12" max="13" width="4.5" customWidth="1"/>
    <col min="14" max="14" width="4.5" style="9" customWidth="1"/>
  </cols>
  <sheetData>
    <row r="1" spans="1:18" ht="23.25" x14ac:dyDescent="0.2">
      <c r="A1" s="238" t="s">
        <v>9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1:18" ht="15" x14ac:dyDescent="0.25">
      <c r="A2" s="253" t="s">
        <v>0</v>
      </c>
      <c r="B2" s="254"/>
      <c r="C2" s="254"/>
      <c r="D2" s="254"/>
      <c r="E2" s="254"/>
      <c r="F2" s="255"/>
      <c r="G2" s="161" t="s">
        <v>1</v>
      </c>
      <c r="H2" s="162"/>
      <c r="I2" s="162"/>
      <c r="J2" s="162"/>
      <c r="K2" s="162"/>
      <c r="L2" s="162"/>
      <c r="M2" s="162"/>
      <c r="N2" s="162"/>
    </row>
    <row r="3" spans="1:18" ht="15" x14ac:dyDescent="0.25">
      <c r="A3" s="165" t="str">
        <f>VLOOKUP(DATEN!I2,DATEN!$I$1:$J$39,IF($K$3="Deutsch", 1, 2),FALSE)</f>
        <v>Kunde Name:</v>
      </c>
      <c r="B3" s="167"/>
      <c r="C3" s="11"/>
      <c r="D3" s="212">
        <f>'Bestellung Commande'!C2</f>
        <v>0</v>
      </c>
      <c r="E3" s="212"/>
      <c r="F3" s="212"/>
      <c r="G3" s="256" t="s">
        <v>2</v>
      </c>
      <c r="H3" s="257"/>
      <c r="I3" s="257"/>
      <c r="J3" s="258"/>
      <c r="K3" s="259" t="s">
        <v>3</v>
      </c>
      <c r="L3" s="260"/>
      <c r="M3" s="260"/>
      <c r="N3" s="261"/>
    </row>
    <row r="4" spans="1:18" ht="15" x14ac:dyDescent="0.25">
      <c r="A4" s="10" t="str">
        <f>VLOOKUP(DATEN!I3,DATEN!$I$1:$J$39,IF($K$3="Deutsch", 1, 2),FALSE)</f>
        <v>Kontaktperson:</v>
      </c>
      <c r="B4" s="11"/>
      <c r="C4" s="11"/>
      <c r="D4" s="212">
        <f>'Bestellung Commande'!C3</f>
        <v>0</v>
      </c>
      <c r="E4" s="212"/>
      <c r="F4" s="212"/>
      <c r="G4" s="256" t="str">
        <f>VLOOKUP(DATEN!I9,DATEN!$I$1:$J$39,IF($K$3="Deutsch", 1, 2),FALSE)</f>
        <v>Bestelldatum:</v>
      </c>
      <c r="H4" s="257"/>
      <c r="I4" s="257"/>
      <c r="J4" s="258"/>
      <c r="K4" s="263">
        <f>'Bestellung Commande'!L3</f>
        <v>0</v>
      </c>
      <c r="L4" s="260"/>
      <c r="M4" s="260"/>
      <c r="N4" s="261"/>
    </row>
    <row r="5" spans="1:18" ht="15" x14ac:dyDescent="0.25">
      <c r="A5" s="165" t="str">
        <f>VLOOKUP(DATEN!I4,DATEN!$I$1:$J$39,IF($K$3="Deutsch", 1, 2),FALSE)</f>
        <v>Kommision:</v>
      </c>
      <c r="B5" s="167"/>
      <c r="C5" s="11"/>
      <c r="D5" s="212">
        <f>'Bestellung Commande'!C4</f>
        <v>0</v>
      </c>
      <c r="E5" s="212"/>
      <c r="F5" s="212"/>
      <c r="G5" s="256" t="str">
        <f>VLOOKUP(DATEN!I10,DATEN!$I$1:$J$39,IF($K$3="Deutsch", 1, 2),FALSE)</f>
        <v>Wunsch Liefertermin:</v>
      </c>
      <c r="H5" s="257"/>
      <c r="I5" s="257"/>
      <c r="J5" s="258"/>
      <c r="K5" s="263">
        <f>'Bestellung Commande'!L4</f>
        <v>0</v>
      </c>
      <c r="L5" s="260"/>
      <c r="M5" s="260"/>
      <c r="N5" s="261"/>
    </row>
    <row r="6" spans="1:18" ht="15" x14ac:dyDescent="0.25">
      <c r="A6" s="165" t="str">
        <f>VLOOKUP(DATEN!I5,DATEN!$I$1:$J$39,IF($K$3="Deutsch", 1, 2),FALSE)</f>
        <v>Kontakt Telefon:</v>
      </c>
      <c r="B6" s="167"/>
      <c r="C6" s="11"/>
      <c r="D6" s="212">
        <f>'Bestellung Commande'!C5</f>
        <v>0</v>
      </c>
      <c r="E6" s="212"/>
      <c r="F6" s="212"/>
      <c r="G6" s="163" t="str">
        <f>VLOOKUP(DATEN!I11,DATEN!$I$1:$J$39,IF($K$3="Deutsch", 1, 2),FALSE)</f>
        <v>Bemerkung:</v>
      </c>
      <c r="H6" s="164"/>
      <c r="I6" s="164"/>
      <c r="J6" s="164"/>
      <c r="K6" s="164"/>
      <c r="L6" s="164"/>
      <c r="M6" s="164"/>
      <c r="N6" s="164"/>
    </row>
    <row r="7" spans="1:18" ht="15" x14ac:dyDescent="0.25">
      <c r="A7" s="264" t="s">
        <v>4</v>
      </c>
      <c r="B7" s="264"/>
      <c r="C7" s="264"/>
      <c r="D7" s="264"/>
      <c r="E7" s="264"/>
      <c r="F7" s="264"/>
      <c r="G7" s="225" t="str">
        <f>VLOOKUP(DATEN!I11,DATEN!$I$1:$J$39,IF($K$3="Deutsch", 1, 2),FALSE)</f>
        <v>Bemerkung:</v>
      </c>
      <c r="H7" s="225"/>
      <c r="I7" s="225"/>
      <c r="J7" s="225"/>
      <c r="K7" s="225"/>
      <c r="L7" s="225"/>
      <c r="M7" s="225"/>
      <c r="N7" s="225"/>
    </row>
    <row r="8" spans="1:18" ht="15" x14ac:dyDescent="0.25">
      <c r="A8" s="165" t="str">
        <f>VLOOKUP(DATEN!I6,DATEN!$I$1:$J$39,IF($K$3="Deutsch", 1, 2),FALSE)</f>
        <v>Strasse:</v>
      </c>
      <c r="B8" s="167"/>
      <c r="C8" s="11"/>
      <c r="D8" s="212">
        <f>'Bestellung Commande'!C8</f>
        <v>0</v>
      </c>
      <c r="E8" s="212"/>
      <c r="F8" s="212"/>
      <c r="G8" s="225"/>
      <c r="H8" s="225"/>
      <c r="I8" s="225"/>
      <c r="J8" s="225"/>
      <c r="K8" s="225"/>
      <c r="L8" s="225"/>
      <c r="M8" s="225"/>
      <c r="N8" s="225"/>
    </row>
    <row r="9" spans="1:18" ht="15" x14ac:dyDescent="0.25">
      <c r="A9" s="165" t="str">
        <f>VLOOKUP(DATEN!I7,DATEN!$I$1:$J$39,IF($K$3="Deutsch", 1, 2),FALSE)</f>
        <v>PLZ Ort:</v>
      </c>
      <c r="B9" s="167"/>
      <c r="C9" s="11"/>
      <c r="D9" s="212">
        <f>'Bestellung Commande'!C9</f>
        <v>0</v>
      </c>
      <c r="E9" s="212"/>
      <c r="F9" s="212"/>
      <c r="G9" s="225"/>
      <c r="H9" s="225"/>
      <c r="I9" s="225"/>
      <c r="J9" s="225"/>
      <c r="K9" s="225"/>
      <c r="L9" s="225"/>
      <c r="M9" s="225"/>
      <c r="N9" s="225"/>
    </row>
    <row r="10" spans="1:18" ht="15" customHeight="1" x14ac:dyDescent="0.25">
      <c r="A10" s="165" t="str">
        <f>VLOOKUP(DATEN!I8,DATEN!$I$1:$J$39,IF($K$3="Deutsch", 1, 2),FALSE)</f>
        <v>Kontakt:</v>
      </c>
      <c r="B10" s="167"/>
      <c r="C10" s="11"/>
      <c r="D10" s="212">
        <f>'Bestellung Commande'!C10</f>
        <v>0</v>
      </c>
      <c r="E10" s="212"/>
      <c r="F10" s="212"/>
      <c r="G10" s="262" t="str">
        <f>IF(VLOOKUP($A$17,'Bestellung Commande'!$A$27:$O$65,10,FALSE)&lt;&gt;"","Sonderbau!!!","")</f>
        <v/>
      </c>
      <c r="H10" s="262"/>
      <c r="I10" s="262"/>
      <c r="J10" s="262"/>
      <c r="K10" s="262"/>
      <c r="L10" s="262"/>
      <c r="M10" s="262"/>
      <c r="N10" s="262"/>
    </row>
    <row r="11" spans="1:18" ht="15" customHeight="1" x14ac:dyDescent="0.25">
      <c r="A11" s="264" t="s">
        <v>5</v>
      </c>
      <c r="B11" s="264"/>
      <c r="C11" s="264"/>
      <c r="D11" s="264"/>
      <c r="E11" s="264"/>
      <c r="F11" s="264"/>
      <c r="G11" s="262"/>
      <c r="H11" s="262"/>
      <c r="I11" s="262"/>
      <c r="J11" s="262"/>
      <c r="K11" s="262"/>
      <c r="L11" s="262"/>
      <c r="M11" s="262"/>
      <c r="N11" s="262"/>
    </row>
    <row r="12" spans="1:18" ht="15" customHeight="1" x14ac:dyDescent="0.4">
      <c r="A12" s="165" t="str">
        <f>VLOOKUP(DATEN!I6,DATEN!$I$1:$J$39,IF($K$3="Deutsch", 1, 2),FALSE)</f>
        <v>Strasse:</v>
      </c>
      <c r="B12" s="167"/>
      <c r="C12" s="11"/>
      <c r="D12" s="212">
        <f>'Bestellung Commande'!C12</f>
        <v>0</v>
      </c>
      <c r="E12" s="212"/>
      <c r="F12" s="212"/>
      <c r="G12" s="146"/>
      <c r="H12" s="146"/>
      <c r="I12" s="146"/>
      <c r="J12" s="146"/>
      <c r="K12" s="146"/>
      <c r="L12" s="146"/>
      <c r="M12" s="146"/>
      <c r="N12" s="146"/>
    </row>
    <row r="13" spans="1:18" ht="15" customHeight="1" x14ac:dyDescent="0.4">
      <c r="A13" s="165" t="str">
        <f>VLOOKUP(DATEN!I7,DATEN!$I$1:$J$39,IF($K$3="Deutsch", 1, 2),FALSE)</f>
        <v>PLZ Ort:</v>
      </c>
      <c r="B13" s="167"/>
      <c r="C13" s="11"/>
      <c r="D13" s="212">
        <f>'Bestellung Commande'!C13</f>
        <v>0</v>
      </c>
      <c r="E13" s="212"/>
      <c r="F13" s="212"/>
      <c r="G13" s="146"/>
      <c r="H13" s="146"/>
      <c r="I13" s="146"/>
      <c r="J13" s="146"/>
      <c r="K13" s="146"/>
      <c r="L13" s="146"/>
      <c r="M13" s="146"/>
      <c r="N13" s="146"/>
    </row>
    <row r="14" spans="1:18" ht="15" customHeight="1" x14ac:dyDescent="0.4">
      <c r="A14" s="165" t="str">
        <f>VLOOKUP(DATEN!I8,DATEN!$I$1:$J$39,IF($K$3="Deutsch", 1, 2),FALSE)</f>
        <v>Kontakt:</v>
      </c>
      <c r="B14" s="167"/>
      <c r="C14" s="11"/>
      <c r="D14" s="212">
        <f>'Bestellung Commande'!C14</f>
        <v>0</v>
      </c>
      <c r="E14" s="212"/>
      <c r="F14" s="212"/>
      <c r="G14" s="146"/>
      <c r="H14" s="146"/>
      <c r="I14" s="146"/>
      <c r="J14" s="146"/>
      <c r="K14" s="146"/>
      <c r="L14" s="146"/>
      <c r="M14" s="146"/>
      <c r="N14" s="146"/>
    </row>
    <row r="15" spans="1:18" ht="15.75" thickBot="1" x14ac:dyDescent="0.3">
      <c r="A15" s="140" t="str">
        <f>'Bestellung Commande'!A67</f>
        <v>V9.5</v>
      </c>
      <c r="B15" s="14"/>
      <c r="C15" s="14"/>
      <c r="D15" s="15"/>
      <c r="E15" s="15"/>
      <c r="F15" s="15"/>
      <c r="G15" s="13"/>
      <c r="H15" s="13"/>
      <c r="I15" s="13"/>
      <c r="J15" s="13"/>
      <c r="K15" s="13"/>
      <c r="L15" s="13"/>
      <c r="M15" s="16">
        <f>'Bestellung Commande'!N24</f>
        <v>73</v>
      </c>
      <c r="N15" s="13"/>
      <c r="O15" s="20" t="s">
        <v>220</v>
      </c>
      <c r="P15" s="9"/>
      <c r="Q15" s="9"/>
      <c r="R15" s="9"/>
    </row>
    <row r="16" spans="1:18" s="19" customFormat="1" ht="28.5" customHeight="1" x14ac:dyDescent="0.2">
      <c r="A16" s="17" t="s">
        <v>216</v>
      </c>
      <c r="B16" s="176" t="str">
        <f>VLOOKUP(DATEN!I14,DATEN!$I$1:$J$39,IF($K$3="Deutsch", 1, 2),FALSE)</f>
        <v>Anz.
Flügel</v>
      </c>
      <c r="C16" s="176"/>
      <c r="D16" s="17" t="str">
        <f>VLOOKUP(DATEN!I15,DATEN!$I$1:$J$39,IF($K$3="Deutsch", 1, 2),FALSE)</f>
        <v>Stk Schw.</v>
      </c>
      <c r="E16" s="17" t="str">
        <f>VLOOKUP(DATEN!I16,DATEN!$I$1:$J$39,IF($K$3="Deutsch", 1, 2),FALSE)</f>
        <v>RA</v>
      </c>
      <c r="F16" s="17" t="str">
        <f>VLOOKUP(DATEN!I17,DATEN!$I$1:$J$39,IF($K$3="Deutsch", 1, 2),FALSE)</f>
        <v>RBL 
(min45)</v>
      </c>
      <c r="G16" s="17" t="str">
        <f>VLOOKUP(DATEN!I18,DATEN!$I$1:$J$39,IF($K$3="Deutsch", 1, 2),FALSE)</f>
        <v>RBR 
(min45)</v>
      </c>
      <c r="H16" s="17"/>
      <c r="I16" s="184" t="str">
        <f>VLOOKUP(DATEN!I19,DATEN!$I$1:$J$39,IF($K$3="Deutsch", 1, 2),FALSE)</f>
        <v>Verbreiterungen</v>
      </c>
      <c r="J16" s="185"/>
      <c r="K16" s="185"/>
      <c r="L16" s="185"/>
      <c r="M16" s="18" t="str">
        <f>VLOOKUP(DATEN!I20,DATEN!$I$1:$J$39,IF($K$3="Deutsch",1,2),FALSE)</f>
        <v>Total</v>
      </c>
      <c r="N16" s="17"/>
      <c r="O16" s="20" t="str">
        <f>E25</f>
        <v>Profil</v>
      </c>
      <c r="P16" s="20" t="str">
        <f>A26</f>
        <v>Links</v>
      </c>
      <c r="Q16" s="20" t="str">
        <f>A27</f>
        <v>Rechts</v>
      </c>
      <c r="R16" s="20" t="str">
        <f>A28</f>
        <v>Mittelteil</v>
      </c>
    </row>
    <row r="17" spans="1:24" ht="15" thickBot="1" x14ac:dyDescent="0.25">
      <c r="A17" s="41">
        <v>7</v>
      </c>
      <c r="B17" s="268">
        <f>VLOOKUP($A$17,'Bestellung Commande'!$A$27:$O$65,3,FALSE)</f>
        <v>0</v>
      </c>
      <c r="C17" s="268"/>
      <c r="D17" s="41">
        <f>VLOOKUP($A$17,'Bestellung Commande'!$A$27:$O$65,5,FALSE)</f>
        <v>0</v>
      </c>
      <c r="E17" s="41">
        <f>VLOOKUP($A$17,'Bestellung Commande'!$A$27:$O$65,6,FALSE)</f>
        <v>0</v>
      </c>
      <c r="F17" s="41">
        <f>VLOOKUP($A$17,'Bestellung Commande'!$A$27:$O$65,7,FALSE)</f>
        <v>0</v>
      </c>
      <c r="G17" s="41">
        <f>VLOOKUP($A$17,'Bestellung Commande'!$A$27:$O$65,8,FALSE)</f>
        <v>0</v>
      </c>
      <c r="H17" s="41">
        <f>VLOOKUP($A$17,'Bestellung Commande'!$A$27:$O$65,9,FALSE)</f>
        <v>0</v>
      </c>
      <c r="I17" s="22">
        <f>VLOOKUP($A$17,'Bestellung Commande'!$A$27:$O$65,10,FALSE)</f>
        <v>0</v>
      </c>
      <c r="J17" s="23">
        <f>VLOOKUP($A$17,'Bestellung Commande'!$A$27:$O$65,11,FALSE)</f>
        <v>0</v>
      </c>
      <c r="K17" s="23">
        <f>VLOOKUP($A$17,'Bestellung Commande'!$A$27:$O$65,12,FALSE)</f>
        <v>0</v>
      </c>
      <c r="L17" s="23">
        <f>VLOOKUP($A$17,'Bestellung Commande'!$A$27:$O$65,13,FALSE)</f>
        <v>0</v>
      </c>
      <c r="M17" s="125">
        <f>VLOOKUP($A$17,'Bestellung Commande'!$A$27:$O$65,14,FALSE)</f>
        <v>0</v>
      </c>
      <c r="N17" s="24"/>
      <c r="O17" s="9" t="str">
        <f>F25</f>
        <v>C298927</v>
      </c>
      <c r="P17" s="29">
        <f>F26</f>
        <v>20</v>
      </c>
      <c r="Q17" s="29">
        <f>F27</f>
        <v>20</v>
      </c>
      <c r="R17" s="29">
        <f>F28</f>
        <v>-42</v>
      </c>
    </row>
    <row r="18" spans="1:24" x14ac:dyDescent="0.2">
      <c r="B18" s="41" cm="1">
        <f t="array" ref="B18">INDEX('Bestellung Commande'!$C$27:$C$66, MATCH($A$17, 'Bestellung Commande'!$A$27:$A$66, 0) + 1)</f>
        <v>0</v>
      </c>
      <c r="C18" s="41" cm="1">
        <f t="array" ref="C18">INDEX('Bestellung Commande'!$D$27:$D$66, MATCH($A$17, 'Bestellung Commande'!$A$27:$A$66, 0) + 1)</f>
        <v>0</v>
      </c>
    </row>
    <row r="20" spans="1:24" ht="15" x14ac:dyDescent="0.25">
      <c r="A20" s="267" t="s">
        <v>10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</row>
    <row r="21" spans="1:24" ht="15" x14ac:dyDescent="0.25">
      <c r="E21" s="25" t="s">
        <v>11</v>
      </c>
      <c r="F21" s="9" t="s">
        <v>12</v>
      </c>
      <c r="G21"/>
      <c r="H21"/>
      <c r="I21"/>
    </row>
    <row r="22" spans="1:24" x14ac:dyDescent="0.2">
      <c r="E22" t="s">
        <v>13</v>
      </c>
      <c r="F22" s="26">
        <f>E17</f>
        <v>0</v>
      </c>
      <c r="G22"/>
      <c r="H22"/>
      <c r="I22"/>
    </row>
    <row r="23" spans="1:24" x14ac:dyDescent="0.2">
      <c r="F23" s="9">
        <f>B17</f>
        <v>0</v>
      </c>
      <c r="G23"/>
      <c r="H23"/>
      <c r="I23"/>
    </row>
    <row r="24" spans="1:24" ht="15" x14ac:dyDescent="0.25">
      <c r="A24" s="267" t="s">
        <v>14</v>
      </c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</row>
    <row r="25" spans="1:24" ht="15" x14ac:dyDescent="0.25">
      <c r="E25" s="25" t="s">
        <v>11</v>
      </c>
      <c r="F25" s="9" t="s">
        <v>15</v>
      </c>
      <c r="G25"/>
      <c r="H25"/>
      <c r="I25"/>
    </row>
    <row r="26" spans="1:24" x14ac:dyDescent="0.2">
      <c r="A26" t="s">
        <v>16</v>
      </c>
      <c r="E26" t="s">
        <v>13</v>
      </c>
      <c r="F26" s="26">
        <f>F17+20</f>
        <v>20</v>
      </c>
      <c r="G26"/>
      <c r="H26"/>
      <c r="I26"/>
      <c r="W26" s="121" t="s">
        <v>208</v>
      </c>
      <c r="X26" s="122">
        <f>F37-F36</f>
        <v>-100</v>
      </c>
    </row>
    <row r="27" spans="1:24" x14ac:dyDescent="0.2">
      <c r="A27" t="s">
        <v>17</v>
      </c>
      <c r="E27" t="s">
        <v>13</v>
      </c>
      <c r="F27" s="26">
        <f>G17+20</f>
        <v>20</v>
      </c>
      <c r="G27"/>
      <c r="H27"/>
      <c r="I27"/>
      <c r="W27" t="s">
        <v>209</v>
      </c>
      <c r="X27">
        <f>[1]DATEN!D14</f>
        <v>300</v>
      </c>
    </row>
    <row r="28" spans="1:24" x14ac:dyDescent="0.2">
      <c r="A28" t="s">
        <v>18</v>
      </c>
      <c r="E28" t="s">
        <v>13</v>
      </c>
      <c r="F28" s="26">
        <f>(E17-(F26+F27))-2</f>
        <v>-42</v>
      </c>
      <c r="G28"/>
      <c r="H28"/>
      <c r="I28"/>
      <c r="P28" t="s">
        <v>293</v>
      </c>
      <c r="T28" t="s">
        <v>294</v>
      </c>
      <c r="W28" t="s">
        <v>210</v>
      </c>
      <c r="X28">
        <f>ROUNDUP(X26/X27,0)</f>
        <v>-1</v>
      </c>
    </row>
    <row r="29" spans="1:24" ht="15" x14ac:dyDescent="0.25">
      <c r="A29" s="267" t="s">
        <v>19</v>
      </c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7" t="str">
        <f t="shared" ref="O29:O39" si="0">IF(AND($F$32&gt;=Q29,$F$32&lt;R29),P29,"")</f>
        <v/>
      </c>
      <c r="P29" s="28" t="str">
        <f>" "</f>
        <v xml:space="preserve"> </v>
      </c>
      <c r="Q29" s="28">
        <v>-1000000</v>
      </c>
      <c r="R29" s="28">
        <v>0</v>
      </c>
      <c r="S29" s="27" t="str">
        <f t="shared" ref="S29:S39" si="1">IF(AND($G$32&gt;=U29,$G$32&lt;V29),T29,"")</f>
        <v/>
      </c>
      <c r="T29" s="28" t="str">
        <f t="shared" ref="T29:T30" si="2">P29</f>
        <v xml:space="preserve"> </v>
      </c>
      <c r="U29" s="28">
        <f t="shared" ref="U29:U30" si="3">Q29</f>
        <v>-1000000</v>
      </c>
      <c r="V29" s="28">
        <f t="shared" ref="V29:V30" si="4">R29</f>
        <v>0</v>
      </c>
      <c r="W29" t="s">
        <v>211</v>
      </c>
      <c r="X29">
        <f>X26/X28</f>
        <v>100</v>
      </c>
    </row>
    <row r="30" spans="1:24" ht="15" x14ac:dyDescent="0.25">
      <c r="F30" s="25" t="s">
        <v>293</v>
      </c>
      <c r="G30" s="25" t="s">
        <v>294</v>
      </c>
      <c r="H30"/>
      <c r="I30"/>
      <c r="K30"/>
      <c r="N30"/>
      <c r="O30" s="27" t="str">
        <f t="shared" si="0"/>
        <v/>
      </c>
      <c r="P30" s="28"/>
      <c r="Q30" s="28">
        <v>0.1</v>
      </c>
      <c r="R30" s="28">
        <v>247.9</v>
      </c>
      <c r="S30" s="27" t="str">
        <f t="shared" si="1"/>
        <v/>
      </c>
      <c r="T30" s="28">
        <f t="shared" si="2"/>
        <v>0</v>
      </c>
      <c r="U30" s="28">
        <f t="shared" si="3"/>
        <v>0.1</v>
      </c>
      <c r="V30" s="28">
        <f t="shared" si="4"/>
        <v>247.9</v>
      </c>
    </row>
    <row r="31" spans="1:24" x14ac:dyDescent="0.2">
      <c r="F31" s="9" t="str">
        <f>O29&amp;O31&amp;O32&amp;O33&amp;O34&amp;O35&amp;O36&amp;O37&amp;O38&amp;O39</f>
        <v/>
      </c>
      <c r="G31" s="9" t="str">
        <f>S29&amp;S31&amp;S32&amp;S33&amp;S34&amp;S35&amp;S36&amp;S37&amp;S38&amp;S39</f>
        <v/>
      </c>
      <c r="I31"/>
      <c r="O31" s="27" t="str">
        <f t="shared" si="0"/>
        <v/>
      </c>
      <c r="P31" s="28" t="str">
        <f>DATEN!M7</f>
        <v>C555366</v>
      </c>
      <c r="Q31" s="28">
        <f>DATEN!N7</f>
        <v>275</v>
      </c>
      <c r="R31" s="28">
        <f>DATEN!O7</f>
        <v>400</v>
      </c>
      <c r="S31" s="27" t="str">
        <f t="shared" si="1"/>
        <v/>
      </c>
      <c r="T31" s="28" t="str">
        <f>P31</f>
        <v>C555366</v>
      </c>
      <c r="U31" s="28">
        <f t="shared" ref="U31:V39" si="5">Q31</f>
        <v>275</v>
      </c>
      <c r="V31" s="28">
        <f t="shared" si="5"/>
        <v>400</v>
      </c>
      <c r="W31">
        <v>1</v>
      </c>
      <c r="X31" s="29">
        <f>F36</f>
        <v>50</v>
      </c>
    </row>
    <row r="32" spans="1:24" x14ac:dyDescent="0.2">
      <c r="A32" t="s">
        <v>13</v>
      </c>
      <c r="F32" s="26" t="b">
        <f>IF(AND(B17=1,B18=0),H17,IF(AND(B17=1,B18&gt;0),B18,IF(AND(B17=2,B18=0),(H17-20)/2,IF(AND(B17=2,B18&gt;0),B18))))</f>
        <v>0</v>
      </c>
      <c r="G32" s="26">
        <f>IF(B17=1,0,IF(AND(B17=2,C18=0),0,C18))</f>
        <v>0</v>
      </c>
      <c r="I32"/>
      <c r="O32" s="27" t="str">
        <f t="shared" si="0"/>
        <v/>
      </c>
      <c r="P32" s="28" t="str">
        <f>DATEN!M8</f>
        <v>C555367</v>
      </c>
      <c r="Q32" s="28">
        <f>DATEN!N8</f>
        <v>400</v>
      </c>
      <c r="R32" s="28">
        <f>DATEN!O8</f>
        <v>550</v>
      </c>
      <c r="S32" s="27" t="str">
        <f t="shared" si="1"/>
        <v/>
      </c>
      <c r="T32" s="28" t="str">
        <f t="shared" ref="T32:T39" si="6">P32</f>
        <v>C555367</v>
      </c>
      <c r="U32" s="28">
        <f t="shared" si="5"/>
        <v>400</v>
      </c>
      <c r="V32" s="28">
        <f t="shared" si="5"/>
        <v>550</v>
      </c>
      <c r="W32">
        <v>2</v>
      </c>
      <c r="X32" s="29">
        <f>ROUND(IF(W32-1&gt;$X$28,0,X31+$X$29),0)</f>
        <v>0</v>
      </c>
    </row>
    <row r="33" spans="1:24" x14ac:dyDescent="0.2">
      <c r="A33" t="s">
        <v>23</v>
      </c>
      <c r="F33" s="30">
        <f>IF(AND(B17=2,B18=0),B17,1)*D17</f>
        <v>0</v>
      </c>
      <c r="G33" s="30">
        <f>IF(G32&gt;0,1,0)*D17</f>
        <v>0</v>
      </c>
      <c r="I33"/>
      <c r="O33" s="27" t="str">
        <f t="shared" si="0"/>
        <v/>
      </c>
      <c r="P33" s="28" t="str">
        <f>DATEN!M9</f>
        <v>C555368</v>
      </c>
      <c r="Q33" s="28">
        <f>DATEN!N9</f>
        <v>550</v>
      </c>
      <c r="R33" s="28">
        <f>DATEN!O9</f>
        <v>700</v>
      </c>
      <c r="S33" s="27" t="str">
        <f t="shared" si="1"/>
        <v/>
      </c>
      <c r="T33" s="28" t="str">
        <f t="shared" si="6"/>
        <v>C555368</v>
      </c>
      <c r="U33" s="28">
        <f t="shared" si="5"/>
        <v>550</v>
      </c>
      <c r="V33" s="28">
        <f t="shared" si="5"/>
        <v>700</v>
      </c>
      <c r="W33">
        <v>3</v>
      </c>
      <c r="X33" s="29">
        <f t="shared" ref="X33:X40" si="7">ROUND(IF(W33-1&gt;$X$28,0,X32+$X$29),0)</f>
        <v>0</v>
      </c>
    </row>
    <row r="34" spans="1:24" ht="15" x14ac:dyDescent="0.25">
      <c r="A34" s="267" t="s">
        <v>25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7" t="str">
        <f>IF(AND($F$32&gt;=Q34,$F$32&lt;R34),P34,"")</f>
        <v/>
      </c>
      <c r="P34" s="28" t="str">
        <f>DATEN!M10</f>
        <v>C555369</v>
      </c>
      <c r="Q34" s="28">
        <f>DATEN!N10</f>
        <v>700</v>
      </c>
      <c r="R34" s="28">
        <f>DATEN!O10</f>
        <v>850</v>
      </c>
      <c r="S34" s="27" t="str">
        <f t="shared" si="1"/>
        <v/>
      </c>
      <c r="T34" s="28" t="str">
        <f t="shared" si="6"/>
        <v>C555369</v>
      </c>
      <c r="U34" s="28">
        <f t="shared" si="5"/>
        <v>700</v>
      </c>
      <c r="V34" s="28">
        <f t="shared" si="5"/>
        <v>850</v>
      </c>
      <c r="W34">
        <v>4</v>
      </c>
      <c r="X34" s="29">
        <f t="shared" si="7"/>
        <v>0</v>
      </c>
    </row>
    <row r="35" spans="1:24" ht="15" x14ac:dyDescent="0.25">
      <c r="A35" s="31" t="s">
        <v>27</v>
      </c>
      <c r="F35" s="9" t="s">
        <v>28</v>
      </c>
      <c r="G35" s="32" t="s">
        <v>29</v>
      </c>
      <c r="H35" s="32"/>
      <c r="I35"/>
      <c r="O35" s="27" t="str">
        <f t="shared" si="0"/>
        <v/>
      </c>
      <c r="P35" s="28" t="str">
        <f>DATEN!M11</f>
        <v>C555370</v>
      </c>
      <c r="Q35" s="28">
        <f>DATEN!N11</f>
        <v>850</v>
      </c>
      <c r="R35" s="28">
        <f>DATEN!O11</f>
        <v>1000</v>
      </c>
      <c r="S35" s="27" t="str">
        <f>IF(AND($G$32&gt;=U35,$G$32&lt;V35),T35,"")</f>
        <v/>
      </c>
      <c r="T35" s="28" t="str">
        <f t="shared" si="6"/>
        <v>C555370</v>
      </c>
      <c r="U35" s="28">
        <f t="shared" si="5"/>
        <v>850</v>
      </c>
      <c r="V35" s="28">
        <f t="shared" si="5"/>
        <v>1000</v>
      </c>
      <c r="W35">
        <v>5</v>
      </c>
      <c r="X35" s="29">
        <f t="shared" si="7"/>
        <v>0</v>
      </c>
    </row>
    <row r="36" spans="1:24" x14ac:dyDescent="0.2">
      <c r="A36" t="s">
        <v>31</v>
      </c>
      <c r="F36" s="26">
        <f>F17+50</f>
        <v>50</v>
      </c>
      <c r="G36"/>
      <c r="H36" t="s">
        <v>206</v>
      </c>
      <c r="I36"/>
      <c r="O36" s="27" t="str">
        <f t="shared" si="0"/>
        <v/>
      </c>
      <c r="P36" s="28" t="str">
        <f>DATEN!M12</f>
        <v>C555371</v>
      </c>
      <c r="Q36" s="28">
        <f>DATEN!N12</f>
        <v>1000</v>
      </c>
      <c r="R36" s="28">
        <f>DATEN!O12</f>
        <v>1150</v>
      </c>
      <c r="S36" s="27" t="str">
        <f t="shared" si="1"/>
        <v/>
      </c>
      <c r="T36" s="28" t="str">
        <f t="shared" si="6"/>
        <v>C555371</v>
      </c>
      <c r="U36" s="28">
        <f t="shared" si="5"/>
        <v>1000</v>
      </c>
      <c r="V36" s="28">
        <f t="shared" si="5"/>
        <v>1150</v>
      </c>
      <c r="W36">
        <v>6</v>
      </c>
      <c r="X36" s="29">
        <f t="shared" si="7"/>
        <v>0</v>
      </c>
    </row>
    <row r="37" spans="1:24" x14ac:dyDescent="0.2">
      <c r="A37" t="s">
        <v>33</v>
      </c>
      <c r="F37" s="26">
        <f>F17+H17-DATEN!$D$13</f>
        <v>-50</v>
      </c>
      <c r="H37" t="s">
        <v>36</v>
      </c>
      <c r="I37"/>
      <c r="J37" s="9">
        <f>X28+1</f>
        <v>0</v>
      </c>
      <c r="O37" s="27" t="str">
        <f t="shared" si="0"/>
        <v/>
      </c>
      <c r="P37" s="28" t="str">
        <f>DATEN!M13</f>
        <v>C555372</v>
      </c>
      <c r="Q37" s="28">
        <f>DATEN!N13</f>
        <v>1150</v>
      </c>
      <c r="R37" s="28">
        <f>DATEN!O13</f>
        <v>1300</v>
      </c>
      <c r="S37" s="27" t="str">
        <f t="shared" si="1"/>
        <v/>
      </c>
      <c r="T37" s="28" t="str">
        <f t="shared" si="6"/>
        <v>C555372</v>
      </c>
      <c r="U37" s="28">
        <f t="shared" si="5"/>
        <v>1150</v>
      </c>
      <c r="V37" s="28">
        <f t="shared" si="5"/>
        <v>1300</v>
      </c>
      <c r="W37">
        <v>7</v>
      </c>
      <c r="X37" s="29">
        <f t="shared" si="7"/>
        <v>0</v>
      </c>
    </row>
    <row r="38" spans="1:24" x14ac:dyDescent="0.2">
      <c r="A38" s="33" t="s">
        <v>35</v>
      </c>
      <c r="F38" s="123" t="str">
        <f>X31&amp;IF(X32="",""," / ")&amp;X32  &amp; IF(X33="",""," / ")&amp;X33&amp; IF(X34="",""," / ")&amp;X34&amp; IF(X35="",""," / ")&amp;X35&amp; IF(X36="",""," / ")&amp;X36&amp; IF(X37="",""," / ")&amp;X37&amp; IF(X38="",""," / ")&amp;X38&amp; IF(X39="",""," / ")&amp;X39&amp; IF(X40="",""," / ")&amp;X40</f>
        <v>50 / 0 / 0 / 0 / 0 / 0 / 0 / 0 / 0 / 0</v>
      </c>
      <c r="O38" s="27" t="str">
        <f t="shared" si="0"/>
        <v/>
      </c>
      <c r="P38" s="28" t="str">
        <f>DATEN!M14</f>
        <v>C555373</v>
      </c>
      <c r="Q38" s="28">
        <f>DATEN!N14</f>
        <v>1300</v>
      </c>
      <c r="R38" s="28">
        <f>DATEN!O14</f>
        <v>1450</v>
      </c>
      <c r="S38" s="27" t="str">
        <f t="shared" si="1"/>
        <v/>
      </c>
      <c r="T38" s="28" t="str">
        <f t="shared" si="6"/>
        <v>C555373</v>
      </c>
      <c r="U38" s="28">
        <f t="shared" si="5"/>
        <v>1300</v>
      </c>
      <c r="V38" s="28">
        <f t="shared" si="5"/>
        <v>1450</v>
      </c>
      <c r="W38">
        <v>8</v>
      </c>
      <c r="X38" s="29">
        <f t="shared" si="7"/>
        <v>0</v>
      </c>
    </row>
    <row r="39" spans="1:24" x14ac:dyDescent="0.2">
      <c r="F39" s="9"/>
      <c r="G39"/>
      <c r="H39"/>
      <c r="I39"/>
      <c r="O39" s="27" t="str">
        <f t="shared" si="0"/>
        <v/>
      </c>
      <c r="P39" s="28" t="str">
        <f>DATEN!M15</f>
        <v>Zu Lang</v>
      </c>
      <c r="Q39" s="28">
        <f>DATEN!N15</f>
        <v>1450.1</v>
      </c>
      <c r="R39" s="28">
        <f>DATEN!O15</f>
        <v>1000000</v>
      </c>
      <c r="S39" s="27" t="str">
        <f t="shared" si="1"/>
        <v/>
      </c>
      <c r="T39" s="28" t="str">
        <f t="shared" si="6"/>
        <v>Zu Lang</v>
      </c>
      <c r="U39" s="28">
        <f t="shared" si="5"/>
        <v>1450.1</v>
      </c>
      <c r="V39" s="28">
        <f t="shared" si="5"/>
        <v>1000000</v>
      </c>
      <c r="W39">
        <v>9</v>
      </c>
      <c r="X39" s="29">
        <f t="shared" si="7"/>
        <v>0</v>
      </c>
    </row>
    <row r="40" spans="1:24" ht="15" x14ac:dyDescent="0.25">
      <c r="A40" s="267" t="s">
        <v>39</v>
      </c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W40">
        <v>10</v>
      </c>
      <c r="X40" s="29">
        <f t="shared" si="7"/>
        <v>0</v>
      </c>
    </row>
    <row r="41" spans="1:24" x14ac:dyDescent="0.2">
      <c r="A41" t="s">
        <v>41</v>
      </c>
      <c r="F41" s="26">
        <f>G17-15</f>
        <v>-15</v>
      </c>
      <c r="G41"/>
      <c r="H41"/>
      <c r="I41"/>
    </row>
    <row r="42" spans="1:24" x14ac:dyDescent="0.2">
      <c r="A42" t="s">
        <v>42</v>
      </c>
      <c r="F42" s="26">
        <f>E17-G17+15</f>
        <v>15</v>
      </c>
      <c r="G42"/>
      <c r="H42"/>
      <c r="I42"/>
    </row>
    <row r="43" spans="1:24" x14ac:dyDescent="0.2">
      <c r="A43" t="s">
        <v>43</v>
      </c>
      <c r="F43" s="26">
        <f>G17-35</f>
        <v>-35</v>
      </c>
      <c r="G43"/>
      <c r="H43"/>
      <c r="I43"/>
    </row>
    <row r="44" spans="1:24" x14ac:dyDescent="0.2">
      <c r="A44" t="s">
        <v>44</v>
      </c>
      <c r="F44" s="26">
        <f>E17-G17+35</f>
        <v>35</v>
      </c>
      <c r="G44"/>
      <c r="H44"/>
      <c r="I44"/>
    </row>
    <row r="45" spans="1:24" x14ac:dyDescent="0.2">
      <c r="A45" t="s">
        <v>45</v>
      </c>
      <c r="F45" s="26">
        <f>F17-23</f>
        <v>-23</v>
      </c>
      <c r="G45"/>
      <c r="H45"/>
      <c r="I45"/>
    </row>
    <row r="46" spans="1:24" x14ac:dyDescent="0.2">
      <c r="A46" t="s">
        <v>46</v>
      </c>
      <c r="F46" s="26">
        <f>E17-G17+23</f>
        <v>23</v>
      </c>
      <c r="G46"/>
      <c r="H46"/>
      <c r="I46"/>
    </row>
    <row r="47" spans="1:24" x14ac:dyDescent="0.2">
      <c r="F47" s="9"/>
      <c r="G47"/>
      <c r="H47"/>
      <c r="I47"/>
      <c r="P47" s="9"/>
    </row>
    <row r="48" spans="1:24" ht="15" x14ac:dyDescent="0.25">
      <c r="A48" s="34" t="s">
        <v>47</v>
      </c>
      <c r="B48" s="35"/>
      <c r="C48" s="35"/>
      <c r="D48" s="35"/>
      <c r="E48" s="35"/>
      <c r="F48" s="35" t="s">
        <v>48</v>
      </c>
      <c r="G48" s="35"/>
      <c r="H48" s="35"/>
      <c r="I48" s="35"/>
      <c r="J48" s="35"/>
      <c r="K48" s="35"/>
      <c r="L48" s="35"/>
    </row>
    <row r="49" spans="1:14" x14ac:dyDescent="0.2">
      <c r="A49" t="s">
        <v>49</v>
      </c>
      <c r="F49" s="26">
        <v>25</v>
      </c>
      <c r="G49"/>
      <c r="H49"/>
      <c r="I49"/>
    </row>
    <row r="50" spans="1:14" x14ac:dyDescent="0.2">
      <c r="A50" t="s">
        <v>33</v>
      </c>
      <c r="F50" s="26">
        <f>F28-25</f>
        <v>-67</v>
      </c>
      <c r="G50"/>
      <c r="H50"/>
      <c r="I50"/>
    </row>
    <row r="51" spans="1:14" x14ac:dyDescent="0.2">
      <c r="A51" s="33" t="s">
        <v>35</v>
      </c>
      <c r="F51" s="36" t="s">
        <v>50</v>
      </c>
      <c r="G51"/>
      <c r="H51"/>
      <c r="I51" t="s">
        <v>36</v>
      </c>
    </row>
    <row r="52" spans="1:14" x14ac:dyDescent="0.2">
      <c r="F52" s="129" t="str">
        <f>IF(B17=2,"Achtung!! 2 Flüglig!! Mittleres Loch auslassen","")</f>
        <v/>
      </c>
      <c r="G52"/>
      <c r="H52"/>
      <c r="I52"/>
    </row>
    <row r="53" spans="1:14" ht="15" x14ac:dyDescent="0.25">
      <c r="A53" s="267" t="s">
        <v>51</v>
      </c>
      <c r="B53" s="267"/>
      <c r="C53" s="267"/>
      <c r="D53" s="267"/>
      <c r="E53" s="267"/>
      <c r="F53" s="267"/>
      <c r="G53" s="267"/>
      <c r="H53" s="267"/>
      <c r="I53" s="267"/>
      <c r="J53" s="267"/>
      <c r="K53" s="267"/>
      <c r="L53" s="267"/>
    </row>
    <row r="54" spans="1:14" x14ac:dyDescent="0.2">
      <c r="A54" s="35" t="s">
        <v>52</v>
      </c>
      <c r="B54" s="37" t="s">
        <v>53</v>
      </c>
      <c r="C54" s="37"/>
      <c r="D54" s="206" t="s">
        <v>54</v>
      </c>
      <c r="E54" s="206"/>
      <c r="F54" s="35" t="s">
        <v>55</v>
      </c>
      <c r="G54" s="35"/>
      <c r="H54" s="35"/>
      <c r="I54" s="35"/>
      <c r="J54" s="35"/>
      <c r="K54" s="266" t="s">
        <v>13</v>
      </c>
      <c r="L54" s="266"/>
    </row>
    <row r="55" spans="1:14" x14ac:dyDescent="0.2">
      <c r="A55" s="12">
        <v>1</v>
      </c>
      <c r="B55" s="9">
        <f>VLOOKUP(A17,'Bestellung Commande'!A27:O65,11,FALSE)</f>
        <v>0</v>
      </c>
      <c r="C55" s="9"/>
      <c r="D55" s="252">
        <f>IF(ISERROR(VLOOKUP($B55,DATEN!$A$3:$D$10,2,FALSE)),"",VLOOKUP($B55,DATEN!$A$3:$D$10,2,FALSE))</f>
        <v>0</v>
      </c>
      <c r="E55" s="252"/>
      <c r="F55" s="12">
        <f>IF(ISERROR(VLOOKUP($B55,DATEN!$A$3:$D$10,3,FALSE)),"",VLOOKUP($B55,DATEN!$A$3:$D$10,3,FALSE))</f>
        <v>0</v>
      </c>
      <c r="G55"/>
      <c r="H55"/>
      <c r="K55" s="265">
        <f>$F$22</f>
        <v>0</v>
      </c>
      <c r="L55" s="265"/>
    </row>
    <row r="56" spans="1:14" x14ac:dyDescent="0.2">
      <c r="A56" s="12">
        <v>2</v>
      </c>
      <c r="B56" s="9">
        <f>VLOOKUP(A17,'Bestellung Commande'!A27:O65,12,FALSE)</f>
        <v>0</v>
      </c>
      <c r="C56" s="9"/>
      <c r="D56" s="252">
        <f>IF(ISERROR(VLOOKUP($B56,DATEN!$A$3:$D$10,2,FALSE)),"",VLOOKUP($B56,DATEN!$A$3:$D$10,2,FALSE))</f>
        <v>0</v>
      </c>
      <c r="E56" s="252"/>
      <c r="F56" s="9">
        <f>IF(ISERROR(VLOOKUP($B56,DATEN!$A$3:$D$10,3,FALSE)),"",VLOOKUP($B56,DATEN!$A$3:$D$10,3,FALSE))</f>
        <v>0</v>
      </c>
      <c r="G56"/>
      <c r="H56"/>
      <c r="K56" s="265">
        <f t="shared" ref="K56:K58" si="8">$F$22</f>
        <v>0</v>
      </c>
      <c r="L56" s="265"/>
    </row>
    <row r="57" spans="1:14" x14ac:dyDescent="0.2">
      <c r="A57" s="12">
        <v>3</v>
      </c>
      <c r="B57" s="9">
        <f>VLOOKUP(A17,'Bestellung Commande'!A27:O65,13,FALSE)</f>
        <v>0</v>
      </c>
      <c r="C57" s="9"/>
      <c r="D57" s="252">
        <f>IF(ISERROR(VLOOKUP($B57,DATEN!$A$3:$D$10,2,FALSE)),"",VLOOKUP($B57,DATEN!$A$3:$D$10,2,FALSE))</f>
        <v>0</v>
      </c>
      <c r="E57" s="252"/>
      <c r="F57" s="9">
        <f>IF(ISERROR(VLOOKUP($B57,DATEN!$A$3:$D$10,3,FALSE)),"",VLOOKUP($B57,DATEN!$A$3:$D$10,3,FALSE))</f>
        <v>0</v>
      </c>
      <c r="K57" s="265">
        <f t="shared" si="8"/>
        <v>0</v>
      </c>
      <c r="L57" s="265"/>
    </row>
    <row r="58" spans="1:14" x14ac:dyDescent="0.2">
      <c r="A58" s="12">
        <v>4</v>
      </c>
      <c r="B58" s="9">
        <f>VLOOKUP(A17,'Bestellung Commande'!A27:O65,14,FALSE)</f>
        <v>0</v>
      </c>
      <c r="C58" s="9"/>
      <c r="D58" s="252">
        <f>IF(ISERROR(VLOOKUP($B58,DATEN!$A$3:$D$10,2,FALSE)),"",VLOOKUP($B58,DATEN!$A$3:$D$10,2,FALSE))</f>
        <v>0</v>
      </c>
      <c r="E58" s="252"/>
      <c r="F58" s="9">
        <f>IF(ISERROR(VLOOKUP($B58,DATEN!$A$3:$D$10,3,FALSE)),"",VLOOKUP($B58,DATEN!$A$3:$D$10,3,FALSE))</f>
        <v>0</v>
      </c>
      <c r="K58" s="265">
        <f t="shared" si="8"/>
        <v>0</v>
      </c>
      <c r="L58" s="265"/>
      <c r="N58" s="46">
        <f>'Bestellung Commande'!B44</f>
        <v>0</v>
      </c>
    </row>
  </sheetData>
  <sheetProtection algorithmName="SHA-512" hashValue="/3I5lTWlRHpUuMEjR9nx5zAntgYxVjrT6Q8NJHpEzI1ytW6ve37xFYscCxARvM2AQVdln6CwDYGGJkjolh/0cQ==" saltValue="kPlY9tRwfUf/9u3jgQOHdw==" spinCount="100000" sheet="1" objects="1" scenarios="1"/>
  <mergeCells count="52">
    <mergeCell ref="D57:E57"/>
    <mergeCell ref="K57:L57"/>
    <mergeCell ref="D58:E58"/>
    <mergeCell ref="K58:L58"/>
    <mergeCell ref="A53:L53"/>
    <mergeCell ref="D54:E54"/>
    <mergeCell ref="K54:L54"/>
    <mergeCell ref="D55:E55"/>
    <mergeCell ref="K55:L55"/>
    <mergeCell ref="D56:E56"/>
    <mergeCell ref="K56:L56"/>
    <mergeCell ref="A40:L40"/>
    <mergeCell ref="A13:B13"/>
    <mergeCell ref="D13:F13"/>
    <mergeCell ref="A14:B14"/>
    <mergeCell ref="D14:F14"/>
    <mergeCell ref="B16:C16"/>
    <mergeCell ref="I16:L16"/>
    <mergeCell ref="B17:C17"/>
    <mergeCell ref="A20:N20"/>
    <mergeCell ref="A24:N24"/>
    <mergeCell ref="A29:N29"/>
    <mergeCell ref="A34:N34"/>
    <mergeCell ref="A10:B10"/>
    <mergeCell ref="D10:F10"/>
    <mergeCell ref="G10:N11"/>
    <mergeCell ref="A11:F11"/>
    <mergeCell ref="A12:B12"/>
    <mergeCell ref="D12:F12"/>
    <mergeCell ref="A6:B6"/>
    <mergeCell ref="D6:F6"/>
    <mergeCell ref="G6:N6"/>
    <mergeCell ref="A7:F7"/>
    <mergeCell ref="G7:N9"/>
    <mergeCell ref="A8:B8"/>
    <mergeCell ref="D8:F8"/>
    <mergeCell ref="A9:B9"/>
    <mergeCell ref="D9:F9"/>
    <mergeCell ref="D4:F4"/>
    <mergeCell ref="G4:J4"/>
    <mergeCell ref="K4:N4"/>
    <mergeCell ref="A5:B5"/>
    <mergeCell ref="D5:F5"/>
    <mergeCell ref="G5:J5"/>
    <mergeCell ref="K5:N5"/>
    <mergeCell ref="A1:N1"/>
    <mergeCell ref="A2:F2"/>
    <mergeCell ref="G2:N2"/>
    <mergeCell ref="A3:B3"/>
    <mergeCell ref="D3:F3"/>
    <mergeCell ref="G3:J3"/>
    <mergeCell ref="K3:N3"/>
  </mergeCells>
  <printOptions horizontalCentered="1"/>
  <pageMargins left="0.27" right="0.31" top="0.74803149606299213" bottom="0.74803149606299213" header="0.31496062992125984" footer="0.31496062992125984"/>
  <pageSetup paperSize="9" scale="87" orientation="portrait" r:id="rId1"/>
  <headerFooter>
    <oddHeader>&amp;R&amp;G</oddHeader>
    <oddFooter>&amp;LDuckdatum: &amp;D
&amp;F&amp;R&amp;P/&amp;N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C2AA1B-917B-4A2C-91B4-05D7CF615E5C}">
          <x14:formula1>
            <xm:f>DATEN!$I$1:$J$1</xm:f>
          </x14:formula1>
          <xm:sqref>K3:N3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851BE-77A8-4E07-8574-299E389E8422}">
  <sheetPr codeName="Tabelle11"/>
  <dimension ref="A1:X58"/>
  <sheetViews>
    <sheetView view="pageBreakPreview" topLeftCell="A3" zoomScaleNormal="120" zoomScaleSheetLayoutView="100" workbookViewId="0">
      <selection activeCell="A12" sqref="A12:B12"/>
    </sheetView>
  </sheetViews>
  <sheetFormatPr baseColWidth="10" defaultColWidth="11" defaultRowHeight="14.25" x14ac:dyDescent="0.2"/>
  <cols>
    <col min="1" max="3" width="8.875" customWidth="1"/>
    <col min="4" max="5" width="6.5" customWidth="1"/>
    <col min="6" max="6" width="10.625" customWidth="1"/>
    <col min="7" max="7" width="8.75" style="9" customWidth="1"/>
    <col min="8" max="8" width="8.875" style="9" customWidth="1"/>
    <col min="9" max="9" width="4.875" style="9" customWidth="1"/>
    <col min="10" max="10" width="8.75" customWidth="1"/>
    <col min="11" max="11" width="4.5" style="9" customWidth="1"/>
    <col min="12" max="13" width="4.5" customWidth="1"/>
    <col min="14" max="14" width="4.5" style="9" customWidth="1"/>
  </cols>
  <sheetData>
    <row r="1" spans="1:18" ht="23.25" x14ac:dyDescent="0.2">
      <c r="A1" s="238" t="s">
        <v>9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1:18" ht="15" x14ac:dyDescent="0.25">
      <c r="A2" s="253" t="s">
        <v>0</v>
      </c>
      <c r="B2" s="254"/>
      <c r="C2" s="254"/>
      <c r="D2" s="254"/>
      <c r="E2" s="254"/>
      <c r="F2" s="255"/>
      <c r="G2" s="161" t="s">
        <v>1</v>
      </c>
      <c r="H2" s="162"/>
      <c r="I2" s="162"/>
      <c r="J2" s="162"/>
      <c r="K2" s="162"/>
      <c r="L2" s="162"/>
      <c r="M2" s="162"/>
      <c r="N2" s="162"/>
    </row>
    <row r="3" spans="1:18" ht="15" x14ac:dyDescent="0.25">
      <c r="A3" s="165" t="str">
        <f>VLOOKUP(DATEN!I2,DATEN!$I$1:$J$39,IF($K$3="Deutsch", 1, 2),FALSE)</f>
        <v>Kunde Name:</v>
      </c>
      <c r="B3" s="167"/>
      <c r="C3" s="11"/>
      <c r="D3" s="212">
        <f>'Bestellung Commande'!C2</f>
        <v>0</v>
      </c>
      <c r="E3" s="212"/>
      <c r="F3" s="212"/>
      <c r="G3" s="256" t="s">
        <v>2</v>
      </c>
      <c r="H3" s="257"/>
      <c r="I3" s="257"/>
      <c r="J3" s="258"/>
      <c r="K3" s="259" t="s">
        <v>3</v>
      </c>
      <c r="L3" s="260"/>
      <c r="M3" s="260"/>
      <c r="N3" s="261"/>
    </row>
    <row r="4" spans="1:18" ht="15" x14ac:dyDescent="0.25">
      <c r="A4" s="10" t="str">
        <f>VLOOKUP(DATEN!I3,DATEN!$I$1:$J$39,IF($K$3="Deutsch", 1, 2),FALSE)</f>
        <v>Kontaktperson:</v>
      </c>
      <c r="B4" s="11"/>
      <c r="C4" s="11"/>
      <c r="D4" s="212">
        <f>'Bestellung Commande'!C3</f>
        <v>0</v>
      </c>
      <c r="E4" s="212"/>
      <c r="F4" s="212"/>
      <c r="G4" s="256" t="str">
        <f>VLOOKUP(DATEN!I9,DATEN!$I$1:$J$39,IF($K$3="Deutsch", 1, 2),FALSE)</f>
        <v>Bestelldatum:</v>
      </c>
      <c r="H4" s="257"/>
      <c r="I4" s="257"/>
      <c r="J4" s="258"/>
      <c r="K4" s="263">
        <f>'Bestellung Commande'!L3</f>
        <v>0</v>
      </c>
      <c r="L4" s="260"/>
      <c r="M4" s="260"/>
      <c r="N4" s="261"/>
    </row>
    <row r="5" spans="1:18" ht="15" x14ac:dyDescent="0.25">
      <c r="A5" s="165" t="str">
        <f>VLOOKUP(DATEN!I4,DATEN!$I$1:$J$39,IF($K$3="Deutsch", 1, 2),FALSE)</f>
        <v>Kommision:</v>
      </c>
      <c r="B5" s="167"/>
      <c r="C5" s="11"/>
      <c r="D5" s="212">
        <f>'Bestellung Commande'!C4</f>
        <v>0</v>
      </c>
      <c r="E5" s="212"/>
      <c r="F5" s="212"/>
      <c r="G5" s="256" t="str">
        <f>VLOOKUP(DATEN!I10,DATEN!$I$1:$J$39,IF($K$3="Deutsch", 1, 2),FALSE)</f>
        <v>Wunsch Liefertermin:</v>
      </c>
      <c r="H5" s="257"/>
      <c r="I5" s="257"/>
      <c r="J5" s="258"/>
      <c r="K5" s="263">
        <f>'Bestellung Commande'!L4</f>
        <v>0</v>
      </c>
      <c r="L5" s="260"/>
      <c r="M5" s="260"/>
      <c r="N5" s="261"/>
    </row>
    <row r="6" spans="1:18" ht="15" x14ac:dyDescent="0.25">
      <c r="A6" s="165" t="str">
        <f>VLOOKUP(DATEN!I5,DATEN!$I$1:$J$39,IF($K$3="Deutsch", 1, 2),FALSE)</f>
        <v>Kontakt Telefon:</v>
      </c>
      <c r="B6" s="167"/>
      <c r="C6" s="11"/>
      <c r="D6" s="212">
        <f>'Bestellung Commande'!C5</f>
        <v>0</v>
      </c>
      <c r="E6" s="212"/>
      <c r="F6" s="212"/>
      <c r="G6" s="163" t="str">
        <f>VLOOKUP(DATEN!I11,DATEN!$I$1:$J$39,IF($K$3="Deutsch", 1, 2),FALSE)</f>
        <v>Bemerkung:</v>
      </c>
      <c r="H6" s="164"/>
      <c r="I6" s="164"/>
      <c r="J6" s="164"/>
      <c r="K6" s="164"/>
      <c r="L6" s="164"/>
      <c r="M6" s="164"/>
      <c r="N6" s="164"/>
    </row>
    <row r="7" spans="1:18" ht="15" x14ac:dyDescent="0.25">
      <c r="A7" s="264" t="s">
        <v>4</v>
      </c>
      <c r="B7" s="264"/>
      <c r="C7" s="264"/>
      <c r="D7" s="264"/>
      <c r="E7" s="264"/>
      <c r="F7" s="264"/>
      <c r="G7" s="225" t="str">
        <f>VLOOKUP(DATEN!I11,DATEN!$I$1:$J$39,IF($K$3="Deutsch", 1, 2),FALSE)</f>
        <v>Bemerkung:</v>
      </c>
      <c r="H7" s="225"/>
      <c r="I7" s="225"/>
      <c r="J7" s="225"/>
      <c r="K7" s="225"/>
      <c r="L7" s="225"/>
      <c r="M7" s="225"/>
      <c r="N7" s="225"/>
    </row>
    <row r="8" spans="1:18" ht="15" x14ac:dyDescent="0.25">
      <c r="A8" s="165" t="str">
        <f>VLOOKUP(DATEN!I6,DATEN!$I$1:$J$39,IF($K$3="Deutsch", 1, 2),FALSE)</f>
        <v>Strasse:</v>
      </c>
      <c r="B8" s="167"/>
      <c r="C8" s="11"/>
      <c r="D8" s="212">
        <f>'Bestellung Commande'!C8</f>
        <v>0</v>
      </c>
      <c r="E8" s="212"/>
      <c r="F8" s="212"/>
      <c r="G8" s="225"/>
      <c r="H8" s="225"/>
      <c r="I8" s="225"/>
      <c r="J8" s="225"/>
      <c r="K8" s="225"/>
      <c r="L8" s="225"/>
      <c r="M8" s="225"/>
      <c r="N8" s="225"/>
    </row>
    <row r="9" spans="1:18" ht="15" x14ac:dyDescent="0.25">
      <c r="A9" s="165" t="str">
        <f>VLOOKUP(DATEN!I7,DATEN!$I$1:$J$39,IF($K$3="Deutsch", 1, 2),FALSE)</f>
        <v>PLZ Ort:</v>
      </c>
      <c r="B9" s="167"/>
      <c r="C9" s="11"/>
      <c r="D9" s="212">
        <f>'Bestellung Commande'!C9</f>
        <v>0</v>
      </c>
      <c r="E9" s="212"/>
      <c r="F9" s="212"/>
      <c r="G9" s="225"/>
      <c r="H9" s="225"/>
      <c r="I9" s="225"/>
      <c r="J9" s="225"/>
      <c r="K9" s="225"/>
      <c r="L9" s="225"/>
      <c r="M9" s="225"/>
      <c r="N9" s="225"/>
    </row>
    <row r="10" spans="1:18" ht="15" customHeight="1" x14ac:dyDescent="0.25">
      <c r="A10" s="165" t="str">
        <f>VLOOKUP(DATEN!I8,DATEN!$I$1:$J$39,IF($K$3="Deutsch", 1, 2),FALSE)</f>
        <v>Kontakt:</v>
      </c>
      <c r="B10" s="167"/>
      <c r="C10" s="11"/>
      <c r="D10" s="212">
        <f>'Bestellung Commande'!C10</f>
        <v>0</v>
      </c>
      <c r="E10" s="212"/>
      <c r="F10" s="212"/>
      <c r="G10" s="262" t="str">
        <f>IF(VLOOKUP($A$17,'Bestellung Commande'!$A$27:$O$65,10,FALSE)&lt;&gt;"","Sonderbau!!!","")</f>
        <v/>
      </c>
      <c r="H10" s="262"/>
      <c r="I10" s="262"/>
      <c r="J10" s="262"/>
      <c r="K10" s="262"/>
      <c r="L10" s="262"/>
      <c r="M10" s="262"/>
      <c r="N10" s="262"/>
    </row>
    <row r="11" spans="1:18" ht="15" customHeight="1" x14ac:dyDescent="0.25">
      <c r="A11" s="264" t="s">
        <v>5</v>
      </c>
      <c r="B11" s="264"/>
      <c r="C11" s="264"/>
      <c r="D11" s="264"/>
      <c r="E11" s="264"/>
      <c r="F11" s="264"/>
      <c r="G11" s="262"/>
      <c r="H11" s="262"/>
      <c r="I11" s="262"/>
      <c r="J11" s="262"/>
      <c r="K11" s="262"/>
      <c r="L11" s="262"/>
      <c r="M11" s="262"/>
      <c r="N11" s="262"/>
    </row>
    <row r="12" spans="1:18" ht="15" customHeight="1" x14ac:dyDescent="0.4">
      <c r="A12" s="165" t="str">
        <f>VLOOKUP(DATEN!I6,DATEN!$I$1:$J$39,IF($K$3="Deutsch", 1, 2),FALSE)</f>
        <v>Strasse:</v>
      </c>
      <c r="B12" s="167"/>
      <c r="C12" s="11"/>
      <c r="D12" s="212">
        <f>'Bestellung Commande'!C12</f>
        <v>0</v>
      </c>
      <c r="E12" s="212"/>
      <c r="F12" s="212"/>
      <c r="G12" s="146"/>
      <c r="H12" s="146"/>
      <c r="I12" s="146"/>
      <c r="J12" s="146"/>
      <c r="K12" s="146"/>
      <c r="L12" s="146"/>
      <c r="M12" s="146"/>
      <c r="N12" s="146"/>
    </row>
    <row r="13" spans="1:18" ht="15" customHeight="1" x14ac:dyDescent="0.4">
      <c r="A13" s="165" t="str">
        <f>VLOOKUP(DATEN!I7,DATEN!$I$1:$J$39,IF($K$3="Deutsch", 1, 2),FALSE)</f>
        <v>PLZ Ort:</v>
      </c>
      <c r="B13" s="167"/>
      <c r="C13" s="11"/>
      <c r="D13" s="212">
        <f>'Bestellung Commande'!C13</f>
        <v>0</v>
      </c>
      <c r="E13" s="212"/>
      <c r="F13" s="212"/>
      <c r="G13" s="146"/>
      <c r="H13" s="146"/>
      <c r="I13" s="146"/>
      <c r="J13" s="146"/>
      <c r="K13" s="146"/>
      <c r="L13" s="146"/>
      <c r="M13" s="146"/>
      <c r="N13" s="146"/>
    </row>
    <row r="14" spans="1:18" ht="15" customHeight="1" x14ac:dyDescent="0.4">
      <c r="A14" s="165" t="str">
        <f>VLOOKUP(DATEN!I8,DATEN!$I$1:$J$39,IF($K$3="Deutsch", 1, 2),FALSE)</f>
        <v>Kontakt:</v>
      </c>
      <c r="B14" s="167"/>
      <c r="C14" s="11"/>
      <c r="D14" s="212">
        <f>'Bestellung Commande'!C14</f>
        <v>0</v>
      </c>
      <c r="E14" s="212"/>
      <c r="F14" s="212"/>
      <c r="G14" s="146"/>
      <c r="H14" s="146"/>
      <c r="I14" s="146"/>
      <c r="J14" s="146"/>
      <c r="K14" s="146"/>
      <c r="L14" s="146"/>
      <c r="M14" s="146"/>
      <c r="N14" s="146"/>
    </row>
    <row r="15" spans="1:18" ht="15.75" thickBot="1" x14ac:dyDescent="0.3">
      <c r="A15" s="140" t="str">
        <f>'Bestellung Commande'!A67</f>
        <v>V9.5</v>
      </c>
      <c r="B15" s="14"/>
      <c r="C15" s="14"/>
      <c r="D15" s="15"/>
      <c r="E15" s="15"/>
      <c r="F15" s="15"/>
      <c r="G15" s="13"/>
      <c r="H15" s="13"/>
      <c r="I15" s="13"/>
      <c r="J15" s="13"/>
      <c r="K15" s="13"/>
      <c r="L15" s="13"/>
      <c r="M15" s="16">
        <f>'Bestellung Commande'!N24</f>
        <v>73</v>
      </c>
      <c r="N15" s="13"/>
      <c r="O15" s="20" t="s">
        <v>220</v>
      </c>
      <c r="P15" s="9"/>
      <c r="Q15" s="9"/>
      <c r="R15" s="9"/>
    </row>
    <row r="16" spans="1:18" s="19" customFormat="1" ht="28.5" customHeight="1" x14ac:dyDescent="0.2">
      <c r="A16" s="17" t="s">
        <v>216</v>
      </c>
      <c r="B16" s="176" t="str">
        <f>VLOOKUP(DATEN!I14,DATEN!$I$1:$J$39,IF($K$3="Deutsch", 1, 2),FALSE)</f>
        <v>Anz.
Flügel</v>
      </c>
      <c r="C16" s="176"/>
      <c r="D16" s="17" t="str">
        <f>VLOOKUP(DATEN!I15,DATEN!$I$1:$J$39,IF($K$3="Deutsch", 1, 2),FALSE)</f>
        <v>Stk Schw.</v>
      </c>
      <c r="E16" s="17" t="str">
        <f>VLOOKUP(DATEN!I16,DATEN!$I$1:$J$39,IF($K$3="Deutsch", 1, 2),FALSE)</f>
        <v>RA</v>
      </c>
      <c r="F16" s="17" t="str">
        <f>VLOOKUP(DATEN!I17,DATEN!$I$1:$J$39,IF($K$3="Deutsch", 1, 2),FALSE)</f>
        <v>RBL 
(min45)</v>
      </c>
      <c r="G16" s="17" t="str">
        <f>VLOOKUP(DATEN!I18,DATEN!$I$1:$J$39,IF($K$3="Deutsch", 1, 2),FALSE)</f>
        <v>RBR 
(min45)</v>
      </c>
      <c r="H16" s="17"/>
      <c r="I16" s="184" t="str">
        <f>VLOOKUP(DATEN!I19,DATEN!$I$1:$J$39,IF($K$3="Deutsch", 1, 2),FALSE)</f>
        <v>Verbreiterungen</v>
      </c>
      <c r="J16" s="185"/>
      <c r="K16" s="185"/>
      <c r="L16" s="185"/>
      <c r="M16" s="18" t="str">
        <f>VLOOKUP(DATEN!I20,DATEN!$I$1:$J$39,IF($K$3="Deutsch",1,2),FALSE)</f>
        <v>Total</v>
      </c>
      <c r="N16" s="17"/>
      <c r="O16" s="20" t="str">
        <f>E25</f>
        <v>Profil</v>
      </c>
      <c r="P16" s="20" t="str">
        <f>A26</f>
        <v>Links</v>
      </c>
      <c r="Q16" s="20" t="str">
        <f>A27</f>
        <v>Rechts</v>
      </c>
      <c r="R16" s="20" t="str">
        <f>A28</f>
        <v>Mittelteil</v>
      </c>
    </row>
    <row r="17" spans="1:24" ht="15" thickBot="1" x14ac:dyDescent="0.25">
      <c r="A17" s="41">
        <v>8</v>
      </c>
      <c r="B17" s="268">
        <f>VLOOKUP($A$17,'Bestellung Commande'!$A$27:$O$65,3,FALSE)</f>
        <v>0</v>
      </c>
      <c r="C17" s="268"/>
      <c r="D17" s="41">
        <f>VLOOKUP($A$17,'Bestellung Commande'!$A$27:$O$65,5,FALSE)</f>
        <v>0</v>
      </c>
      <c r="E17" s="41">
        <f>VLOOKUP($A$17,'Bestellung Commande'!$A$27:$O$65,6,FALSE)</f>
        <v>0</v>
      </c>
      <c r="F17" s="41">
        <f>VLOOKUP($A$17,'Bestellung Commande'!$A$27:$O$65,7,FALSE)</f>
        <v>0</v>
      </c>
      <c r="G17" s="41">
        <f>VLOOKUP($A$17,'Bestellung Commande'!$A$27:$O$65,8,FALSE)</f>
        <v>0</v>
      </c>
      <c r="H17" s="41">
        <f>VLOOKUP($A$17,'Bestellung Commande'!$A$27:$O$65,9,FALSE)</f>
        <v>0</v>
      </c>
      <c r="I17" s="22">
        <f>VLOOKUP($A$17,'Bestellung Commande'!$A$27:$O$65,10,FALSE)</f>
        <v>0</v>
      </c>
      <c r="J17" s="23">
        <f>VLOOKUP($A$17,'Bestellung Commande'!$A$27:$O$65,11,FALSE)</f>
        <v>0</v>
      </c>
      <c r="K17" s="23">
        <f>VLOOKUP($A$17,'Bestellung Commande'!$A$27:$O$65,12,FALSE)</f>
        <v>0</v>
      </c>
      <c r="L17" s="23">
        <f>VLOOKUP($A$17,'Bestellung Commande'!$A$27:$O$65,13,FALSE)</f>
        <v>0</v>
      </c>
      <c r="M17" s="125">
        <f>VLOOKUP($A$17,'Bestellung Commande'!$A$27:$O$65,14,FALSE)</f>
        <v>0</v>
      </c>
      <c r="N17" s="24"/>
      <c r="O17" s="9" t="str">
        <f>F25</f>
        <v>C298927</v>
      </c>
      <c r="P17" s="29">
        <f>F26</f>
        <v>20</v>
      </c>
      <c r="Q17" s="29">
        <f>F27</f>
        <v>20</v>
      </c>
      <c r="R17" s="29">
        <f>F28</f>
        <v>-42</v>
      </c>
    </row>
    <row r="18" spans="1:24" x14ac:dyDescent="0.2">
      <c r="B18" s="41" cm="1">
        <f t="array" ref="B18">INDEX('Bestellung Commande'!$C$27:$C$66, MATCH($A$17, 'Bestellung Commande'!$A$27:$A$66, 0) + 1)</f>
        <v>0</v>
      </c>
      <c r="C18" s="41" cm="1">
        <f t="array" ref="C18">INDEX('Bestellung Commande'!$D$27:$D$66, MATCH($A$17, 'Bestellung Commande'!$A$27:$A$66, 0) + 1)</f>
        <v>0</v>
      </c>
    </row>
    <row r="20" spans="1:24" ht="15" x14ac:dyDescent="0.25">
      <c r="A20" s="267" t="s">
        <v>10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</row>
    <row r="21" spans="1:24" ht="15" x14ac:dyDescent="0.25">
      <c r="E21" s="25" t="s">
        <v>11</v>
      </c>
      <c r="F21" s="9" t="s">
        <v>12</v>
      </c>
      <c r="G21"/>
      <c r="H21"/>
      <c r="I21"/>
    </row>
    <row r="22" spans="1:24" x14ac:dyDescent="0.2">
      <c r="E22" t="s">
        <v>13</v>
      </c>
      <c r="F22" s="26">
        <f>E17</f>
        <v>0</v>
      </c>
      <c r="G22"/>
      <c r="H22"/>
      <c r="I22"/>
    </row>
    <row r="23" spans="1:24" x14ac:dyDescent="0.2">
      <c r="F23" s="9">
        <f>B17</f>
        <v>0</v>
      </c>
      <c r="G23"/>
      <c r="H23"/>
      <c r="I23"/>
    </row>
    <row r="24" spans="1:24" ht="15" x14ac:dyDescent="0.25">
      <c r="A24" s="267" t="s">
        <v>14</v>
      </c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</row>
    <row r="25" spans="1:24" ht="15" x14ac:dyDescent="0.25">
      <c r="E25" s="25" t="s">
        <v>11</v>
      </c>
      <c r="F25" s="9" t="s">
        <v>15</v>
      </c>
      <c r="G25"/>
      <c r="H25"/>
      <c r="I25"/>
    </row>
    <row r="26" spans="1:24" x14ac:dyDescent="0.2">
      <c r="A26" t="s">
        <v>16</v>
      </c>
      <c r="E26" t="s">
        <v>13</v>
      </c>
      <c r="F26" s="26">
        <f>F17+20</f>
        <v>20</v>
      </c>
      <c r="G26"/>
      <c r="H26"/>
      <c r="I26"/>
      <c r="W26" s="121" t="s">
        <v>208</v>
      </c>
      <c r="X26" s="122">
        <f>F37-F36</f>
        <v>-100</v>
      </c>
    </row>
    <row r="27" spans="1:24" x14ac:dyDescent="0.2">
      <c r="A27" t="s">
        <v>17</v>
      </c>
      <c r="E27" t="s">
        <v>13</v>
      </c>
      <c r="F27" s="26">
        <f>G17+20</f>
        <v>20</v>
      </c>
      <c r="G27"/>
      <c r="H27"/>
      <c r="I27"/>
      <c r="W27" t="s">
        <v>209</v>
      </c>
      <c r="X27">
        <f>[1]DATEN!D14</f>
        <v>300</v>
      </c>
    </row>
    <row r="28" spans="1:24" x14ac:dyDescent="0.2">
      <c r="A28" t="s">
        <v>18</v>
      </c>
      <c r="E28" t="s">
        <v>13</v>
      </c>
      <c r="F28" s="26">
        <f>(E17-(F26+F27))-2</f>
        <v>-42</v>
      </c>
      <c r="G28"/>
      <c r="H28"/>
      <c r="I28"/>
      <c r="P28" t="s">
        <v>293</v>
      </c>
      <c r="T28" t="s">
        <v>294</v>
      </c>
      <c r="W28" t="s">
        <v>210</v>
      </c>
      <c r="X28">
        <f>ROUNDUP(X26/X27,0)</f>
        <v>-1</v>
      </c>
    </row>
    <row r="29" spans="1:24" ht="15" x14ac:dyDescent="0.25">
      <c r="A29" s="267" t="s">
        <v>19</v>
      </c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7" t="str">
        <f t="shared" ref="O29:O39" si="0">IF(AND($F$32&gt;=Q29,$F$32&lt;R29),P29,"")</f>
        <v/>
      </c>
      <c r="P29" s="28" t="str">
        <f>" "</f>
        <v xml:space="preserve"> </v>
      </c>
      <c r="Q29" s="28">
        <v>-1000000</v>
      </c>
      <c r="R29" s="28">
        <v>0</v>
      </c>
      <c r="S29" s="27" t="str">
        <f t="shared" ref="S29:S39" si="1">IF(AND($G$32&gt;=U29,$G$32&lt;V29),T29,"")</f>
        <v/>
      </c>
      <c r="T29" s="28" t="str">
        <f t="shared" ref="T29:T30" si="2">P29</f>
        <v xml:space="preserve"> </v>
      </c>
      <c r="U29" s="28">
        <f t="shared" ref="U29:U30" si="3">Q29</f>
        <v>-1000000</v>
      </c>
      <c r="V29" s="28">
        <f t="shared" ref="V29:V30" si="4">R29</f>
        <v>0</v>
      </c>
      <c r="W29" t="s">
        <v>211</v>
      </c>
      <c r="X29">
        <f>X26/X28</f>
        <v>100</v>
      </c>
    </row>
    <row r="30" spans="1:24" ht="15" x14ac:dyDescent="0.25">
      <c r="F30" s="25" t="s">
        <v>293</v>
      </c>
      <c r="G30" s="25" t="s">
        <v>294</v>
      </c>
      <c r="H30"/>
      <c r="I30"/>
      <c r="K30"/>
      <c r="N30"/>
      <c r="O30" s="27" t="str">
        <f t="shared" si="0"/>
        <v/>
      </c>
      <c r="P30" s="28"/>
      <c r="Q30" s="28">
        <v>0.1</v>
      </c>
      <c r="R30" s="28">
        <v>247.9</v>
      </c>
      <c r="S30" s="27" t="str">
        <f t="shared" si="1"/>
        <v/>
      </c>
      <c r="T30" s="28">
        <f t="shared" si="2"/>
        <v>0</v>
      </c>
      <c r="U30" s="28">
        <f t="shared" si="3"/>
        <v>0.1</v>
      </c>
      <c r="V30" s="28">
        <f t="shared" si="4"/>
        <v>247.9</v>
      </c>
    </row>
    <row r="31" spans="1:24" x14ac:dyDescent="0.2">
      <c r="F31" s="9" t="str">
        <f>O29&amp;O31&amp;O32&amp;O33&amp;O34&amp;O35&amp;O36&amp;O37&amp;O38&amp;O39</f>
        <v/>
      </c>
      <c r="G31" s="9" t="str">
        <f>S29&amp;S31&amp;S32&amp;S33&amp;S34&amp;S35&amp;S36&amp;S37&amp;S38&amp;S39</f>
        <v/>
      </c>
      <c r="I31"/>
      <c r="O31" s="27" t="str">
        <f t="shared" si="0"/>
        <v/>
      </c>
      <c r="P31" s="28" t="str">
        <f>DATEN!M7</f>
        <v>C555366</v>
      </c>
      <c r="Q31" s="28">
        <f>DATEN!N7</f>
        <v>275</v>
      </c>
      <c r="R31" s="28">
        <f>DATEN!O7</f>
        <v>400</v>
      </c>
      <c r="S31" s="27" t="str">
        <f t="shared" si="1"/>
        <v/>
      </c>
      <c r="T31" s="28" t="str">
        <f>P31</f>
        <v>C555366</v>
      </c>
      <c r="U31" s="28">
        <f t="shared" ref="U31:V39" si="5">Q31</f>
        <v>275</v>
      </c>
      <c r="V31" s="28">
        <f t="shared" si="5"/>
        <v>400</v>
      </c>
      <c r="W31">
        <v>1</v>
      </c>
      <c r="X31" s="29">
        <f>F36</f>
        <v>50</v>
      </c>
    </row>
    <row r="32" spans="1:24" x14ac:dyDescent="0.2">
      <c r="A32" t="s">
        <v>13</v>
      </c>
      <c r="F32" s="26" t="b">
        <f>IF(AND(B17=1,B18=0),H17,IF(AND(B17=1,B18&gt;0),B18,IF(AND(B17=2,B18=0),(H17-20)/2,IF(AND(B17=2,B18&gt;0),B18))))</f>
        <v>0</v>
      </c>
      <c r="G32" s="26">
        <f>IF(B17=1,0,IF(AND(B17=2,C18=0),0,C18))</f>
        <v>0</v>
      </c>
      <c r="I32"/>
      <c r="O32" s="27" t="str">
        <f t="shared" si="0"/>
        <v/>
      </c>
      <c r="P32" s="28" t="str">
        <f>DATEN!M8</f>
        <v>C555367</v>
      </c>
      <c r="Q32" s="28">
        <f>DATEN!N8</f>
        <v>400</v>
      </c>
      <c r="R32" s="28">
        <f>DATEN!O8</f>
        <v>550</v>
      </c>
      <c r="S32" s="27" t="str">
        <f t="shared" si="1"/>
        <v/>
      </c>
      <c r="T32" s="28" t="str">
        <f t="shared" ref="T32:T39" si="6">P32</f>
        <v>C555367</v>
      </c>
      <c r="U32" s="28">
        <f t="shared" si="5"/>
        <v>400</v>
      </c>
      <c r="V32" s="28">
        <f t="shared" si="5"/>
        <v>550</v>
      </c>
      <c r="W32">
        <v>2</v>
      </c>
      <c r="X32" s="29">
        <f>ROUND(IF(W32-1&gt;$X$28,0,X31+$X$29),0)</f>
        <v>0</v>
      </c>
    </row>
    <row r="33" spans="1:24" x14ac:dyDescent="0.2">
      <c r="A33" t="s">
        <v>23</v>
      </c>
      <c r="F33" s="30">
        <f>IF(AND(B17=2,B18=0),B17,1)*D17</f>
        <v>0</v>
      </c>
      <c r="G33" s="30">
        <f>IF(G32&gt;0,1,0)*D17</f>
        <v>0</v>
      </c>
      <c r="I33"/>
      <c r="O33" s="27" t="str">
        <f t="shared" si="0"/>
        <v/>
      </c>
      <c r="P33" s="28" t="str">
        <f>DATEN!M9</f>
        <v>C555368</v>
      </c>
      <c r="Q33" s="28">
        <f>DATEN!N9</f>
        <v>550</v>
      </c>
      <c r="R33" s="28">
        <f>DATEN!O9</f>
        <v>700</v>
      </c>
      <c r="S33" s="27" t="str">
        <f t="shared" si="1"/>
        <v/>
      </c>
      <c r="T33" s="28" t="str">
        <f t="shared" si="6"/>
        <v>C555368</v>
      </c>
      <c r="U33" s="28">
        <f t="shared" si="5"/>
        <v>550</v>
      </c>
      <c r="V33" s="28">
        <f t="shared" si="5"/>
        <v>700</v>
      </c>
      <c r="W33">
        <v>3</v>
      </c>
      <c r="X33" s="29">
        <f t="shared" ref="X33:X40" si="7">ROUND(IF(W33-1&gt;$X$28,0,X32+$X$29),0)</f>
        <v>0</v>
      </c>
    </row>
    <row r="34" spans="1:24" ht="15" x14ac:dyDescent="0.25">
      <c r="A34" s="267" t="s">
        <v>25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7" t="str">
        <f>IF(AND($F$32&gt;=Q34,$F$32&lt;R34),P34,"")</f>
        <v/>
      </c>
      <c r="P34" s="28" t="str">
        <f>DATEN!M10</f>
        <v>C555369</v>
      </c>
      <c r="Q34" s="28">
        <f>DATEN!N10</f>
        <v>700</v>
      </c>
      <c r="R34" s="28">
        <f>DATEN!O10</f>
        <v>850</v>
      </c>
      <c r="S34" s="27" t="str">
        <f t="shared" si="1"/>
        <v/>
      </c>
      <c r="T34" s="28" t="str">
        <f t="shared" si="6"/>
        <v>C555369</v>
      </c>
      <c r="U34" s="28">
        <f t="shared" si="5"/>
        <v>700</v>
      </c>
      <c r="V34" s="28">
        <f t="shared" si="5"/>
        <v>850</v>
      </c>
      <c r="W34">
        <v>4</v>
      </c>
      <c r="X34" s="29">
        <f t="shared" si="7"/>
        <v>0</v>
      </c>
    </row>
    <row r="35" spans="1:24" ht="15" x14ac:dyDescent="0.25">
      <c r="A35" s="31" t="s">
        <v>27</v>
      </c>
      <c r="F35" s="9" t="s">
        <v>28</v>
      </c>
      <c r="G35" s="32" t="s">
        <v>29</v>
      </c>
      <c r="H35" s="32"/>
      <c r="I35"/>
      <c r="O35" s="27" t="str">
        <f t="shared" si="0"/>
        <v/>
      </c>
      <c r="P35" s="28" t="str">
        <f>DATEN!M11</f>
        <v>C555370</v>
      </c>
      <c r="Q35" s="28">
        <f>DATEN!N11</f>
        <v>850</v>
      </c>
      <c r="R35" s="28">
        <f>DATEN!O11</f>
        <v>1000</v>
      </c>
      <c r="S35" s="27" t="str">
        <f>IF(AND($G$32&gt;=U35,$G$32&lt;V35),T35,"")</f>
        <v/>
      </c>
      <c r="T35" s="28" t="str">
        <f t="shared" si="6"/>
        <v>C555370</v>
      </c>
      <c r="U35" s="28">
        <f t="shared" si="5"/>
        <v>850</v>
      </c>
      <c r="V35" s="28">
        <f t="shared" si="5"/>
        <v>1000</v>
      </c>
      <c r="W35">
        <v>5</v>
      </c>
      <c r="X35" s="29">
        <f t="shared" si="7"/>
        <v>0</v>
      </c>
    </row>
    <row r="36" spans="1:24" x14ac:dyDescent="0.2">
      <c r="A36" t="s">
        <v>31</v>
      </c>
      <c r="F36" s="26">
        <f>F17+50</f>
        <v>50</v>
      </c>
      <c r="G36"/>
      <c r="H36" t="s">
        <v>206</v>
      </c>
      <c r="I36"/>
      <c r="O36" s="27" t="str">
        <f t="shared" si="0"/>
        <v/>
      </c>
      <c r="P36" s="28" t="str">
        <f>DATEN!M12</f>
        <v>C555371</v>
      </c>
      <c r="Q36" s="28">
        <f>DATEN!N12</f>
        <v>1000</v>
      </c>
      <c r="R36" s="28">
        <f>DATEN!O12</f>
        <v>1150</v>
      </c>
      <c r="S36" s="27" t="str">
        <f t="shared" si="1"/>
        <v/>
      </c>
      <c r="T36" s="28" t="str">
        <f t="shared" si="6"/>
        <v>C555371</v>
      </c>
      <c r="U36" s="28">
        <f t="shared" si="5"/>
        <v>1000</v>
      </c>
      <c r="V36" s="28">
        <f t="shared" si="5"/>
        <v>1150</v>
      </c>
      <c r="W36">
        <v>6</v>
      </c>
      <c r="X36" s="29">
        <f t="shared" si="7"/>
        <v>0</v>
      </c>
    </row>
    <row r="37" spans="1:24" x14ac:dyDescent="0.2">
      <c r="A37" t="s">
        <v>33</v>
      </c>
      <c r="F37" s="26">
        <f>F17+H17-DATEN!$D$13</f>
        <v>-50</v>
      </c>
      <c r="H37" t="s">
        <v>36</v>
      </c>
      <c r="I37"/>
      <c r="J37" s="9">
        <f>X28+1</f>
        <v>0</v>
      </c>
      <c r="O37" s="27" t="str">
        <f t="shared" si="0"/>
        <v/>
      </c>
      <c r="P37" s="28" t="str">
        <f>DATEN!M13</f>
        <v>C555372</v>
      </c>
      <c r="Q37" s="28">
        <f>DATEN!N13</f>
        <v>1150</v>
      </c>
      <c r="R37" s="28">
        <f>DATEN!O13</f>
        <v>1300</v>
      </c>
      <c r="S37" s="27" t="str">
        <f t="shared" si="1"/>
        <v/>
      </c>
      <c r="T37" s="28" t="str">
        <f t="shared" si="6"/>
        <v>C555372</v>
      </c>
      <c r="U37" s="28">
        <f t="shared" si="5"/>
        <v>1150</v>
      </c>
      <c r="V37" s="28">
        <f t="shared" si="5"/>
        <v>1300</v>
      </c>
      <c r="W37">
        <v>7</v>
      </c>
      <c r="X37" s="29">
        <f t="shared" si="7"/>
        <v>0</v>
      </c>
    </row>
    <row r="38" spans="1:24" x14ac:dyDescent="0.2">
      <c r="A38" s="33" t="s">
        <v>35</v>
      </c>
      <c r="F38" s="123" t="str">
        <f>X31&amp;IF(X32="",""," / ")&amp;X32  &amp; IF(X33="",""," / ")&amp;X33&amp; IF(X34="",""," / ")&amp;X34&amp; IF(X35="",""," / ")&amp;X35&amp; IF(X36="",""," / ")&amp;X36&amp; IF(X37="",""," / ")&amp;X37&amp; IF(X38="",""," / ")&amp;X38&amp; IF(X39="",""," / ")&amp;X39&amp; IF(X40="",""," / ")&amp;X40</f>
        <v>50 / 0 / 0 / 0 / 0 / 0 / 0 / 0 / 0 / 0</v>
      </c>
      <c r="O38" s="27" t="str">
        <f t="shared" si="0"/>
        <v/>
      </c>
      <c r="P38" s="28" t="str">
        <f>DATEN!M14</f>
        <v>C555373</v>
      </c>
      <c r="Q38" s="28">
        <f>DATEN!N14</f>
        <v>1300</v>
      </c>
      <c r="R38" s="28">
        <f>DATEN!O14</f>
        <v>1450</v>
      </c>
      <c r="S38" s="27" t="str">
        <f t="shared" si="1"/>
        <v/>
      </c>
      <c r="T38" s="28" t="str">
        <f t="shared" si="6"/>
        <v>C555373</v>
      </c>
      <c r="U38" s="28">
        <f t="shared" si="5"/>
        <v>1300</v>
      </c>
      <c r="V38" s="28">
        <f t="shared" si="5"/>
        <v>1450</v>
      </c>
      <c r="W38">
        <v>8</v>
      </c>
      <c r="X38" s="29">
        <f t="shared" si="7"/>
        <v>0</v>
      </c>
    </row>
    <row r="39" spans="1:24" x14ac:dyDescent="0.2">
      <c r="F39" s="9"/>
      <c r="G39"/>
      <c r="H39"/>
      <c r="I39"/>
      <c r="O39" s="27" t="str">
        <f t="shared" si="0"/>
        <v/>
      </c>
      <c r="P39" s="28" t="str">
        <f>DATEN!M15</f>
        <v>Zu Lang</v>
      </c>
      <c r="Q39" s="28">
        <f>DATEN!N15</f>
        <v>1450.1</v>
      </c>
      <c r="R39" s="28">
        <f>DATEN!O15</f>
        <v>1000000</v>
      </c>
      <c r="S39" s="27" t="str">
        <f t="shared" si="1"/>
        <v/>
      </c>
      <c r="T39" s="28" t="str">
        <f t="shared" si="6"/>
        <v>Zu Lang</v>
      </c>
      <c r="U39" s="28">
        <f t="shared" si="5"/>
        <v>1450.1</v>
      </c>
      <c r="V39" s="28">
        <f t="shared" si="5"/>
        <v>1000000</v>
      </c>
      <c r="W39">
        <v>9</v>
      </c>
      <c r="X39" s="29">
        <f t="shared" si="7"/>
        <v>0</v>
      </c>
    </row>
    <row r="40" spans="1:24" ht="15" x14ac:dyDescent="0.25">
      <c r="A40" s="267" t="s">
        <v>39</v>
      </c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W40">
        <v>10</v>
      </c>
      <c r="X40" s="29">
        <f t="shared" si="7"/>
        <v>0</v>
      </c>
    </row>
    <row r="41" spans="1:24" x14ac:dyDescent="0.2">
      <c r="A41" t="s">
        <v>41</v>
      </c>
      <c r="F41" s="26">
        <f>G17-15</f>
        <v>-15</v>
      </c>
      <c r="G41"/>
      <c r="H41"/>
      <c r="I41"/>
    </row>
    <row r="42" spans="1:24" x14ac:dyDescent="0.2">
      <c r="A42" t="s">
        <v>42</v>
      </c>
      <c r="F42" s="26">
        <f>E17-G17+15</f>
        <v>15</v>
      </c>
      <c r="G42"/>
      <c r="H42"/>
      <c r="I42"/>
    </row>
    <row r="43" spans="1:24" x14ac:dyDescent="0.2">
      <c r="A43" t="s">
        <v>43</v>
      </c>
      <c r="F43" s="26">
        <f>G17-35</f>
        <v>-35</v>
      </c>
      <c r="G43"/>
      <c r="H43"/>
      <c r="I43"/>
    </row>
    <row r="44" spans="1:24" x14ac:dyDescent="0.2">
      <c r="A44" t="s">
        <v>44</v>
      </c>
      <c r="F44" s="26">
        <f>E17-G17+35</f>
        <v>35</v>
      </c>
      <c r="G44"/>
      <c r="H44"/>
      <c r="I44"/>
    </row>
    <row r="45" spans="1:24" x14ac:dyDescent="0.2">
      <c r="A45" t="s">
        <v>45</v>
      </c>
      <c r="F45" s="26">
        <f>F17-23</f>
        <v>-23</v>
      </c>
      <c r="G45"/>
      <c r="H45"/>
      <c r="I45"/>
    </row>
    <row r="46" spans="1:24" x14ac:dyDescent="0.2">
      <c r="A46" t="s">
        <v>46</v>
      </c>
      <c r="F46" s="26">
        <f>E17-G17+23</f>
        <v>23</v>
      </c>
      <c r="G46"/>
      <c r="H46"/>
      <c r="I46"/>
    </row>
    <row r="47" spans="1:24" x14ac:dyDescent="0.2">
      <c r="F47" s="9"/>
      <c r="G47"/>
      <c r="H47"/>
      <c r="I47"/>
      <c r="P47" s="9"/>
    </row>
    <row r="48" spans="1:24" ht="15" x14ac:dyDescent="0.25">
      <c r="A48" s="34" t="s">
        <v>47</v>
      </c>
      <c r="B48" s="35"/>
      <c r="C48" s="35"/>
      <c r="D48" s="35"/>
      <c r="E48" s="35"/>
      <c r="F48" s="35" t="s">
        <v>48</v>
      </c>
      <c r="G48" s="35"/>
      <c r="H48" s="35"/>
      <c r="I48" s="35"/>
      <c r="J48" s="35"/>
      <c r="K48" s="35"/>
      <c r="L48" s="35"/>
    </row>
    <row r="49" spans="1:14" x14ac:dyDescent="0.2">
      <c r="A49" t="s">
        <v>49</v>
      </c>
      <c r="F49" s="26">
        <v>25</v>
      </c>
      <c r="G49"/>
      <c r="H49"/>
      <c r="I49"/>
    </row>
    <row r="50" spans="1:14" x14ac:dyDescent="0.2">
      <c r="A50" t="s">
        <v>33</v>
      </c>
      <c r="F50" s="26">
        <f>F28-25</f>
        <v>-67</v>
      </c>
      <c r="G50"/>
      <c r="H50"/>
      <c r="I50"/>
    </row>
    <row r="51" spans="1:14" x14ac:dyDescent="0.2">
      <c r="A51" s="33" t="s">
        <v>35</v>
      </c>
      <c r="F51" s="36" t="s">
        <v>50</v>
      </c>
      <c r="G51"/>
      <c r="H51"/>
      <c r="I51" t="s">
        <v>36</v>
      </c>
    </row>
    <row r="52" spans="1:14" x14ac:dyDescent="0.2">
      <c r="F52" s="129" t="str">
        <f>IF(B17=2,"Achtung!! 2 Flüglig!! Mittleres Loch auslassen","")</f>
        <v/>
      </c>
      <c r="G52"/>
      <c r="H52"/>
      <c r="I52"/>
    </row>
    <row r="53" spans="1:14" ht="15" x14ac:dyDescent="0.25">
      <c r="A53" s="267" t="s">
        <v>51</v>
      </c>
      <c r="B53" s="267"/>
      <c r="C53" s="267"/>
      <c r="D53" s="267"/>
      <c r="E53" s="267"/>
      <c r="F53" s="267"/>
      <c r="G53" s="267"/>
      <c r="H53" s="267"/>
      <c r="I53" s="267"/>
      <c r="J53" s="267"/>
      <c r="K53" s="267"/>
      <c r="L53" s="267"/>
    </row>
    <row r="54" spans="1:14" x14ac:dyDescent="0.2">
      <c r="A54" s="35" t="s">
        <v>52</v>
      </c>
      <c r="B54" s="37" t="s">
        <v>53</v>
      </c>
      <c r="C54" s="37"/>
      <c r="D54" s="206" t="s">
        <v>54</v>
      </c>
      <c r="E54" s="206"/>
      <c r="F54" s="35" t="s">
        <v>55</v>
      </c>
      <c r="G54" s="35"/>
      <c r="H54" s="35"/>
      <c r="I54" s="35"/>
      <c r="J54" s="35"/>
      <c r="K54" s="266" t="s">
        <v>13</v>
      </c>
      <c r="L54" s="266"/>
    </row>
    <row r="55" spans="1:14" x14ac:dyDescent="0.2">
      <c r="A55" s="12">
        <v>1</v>
      </c>
      <c r="B55" s="9">
        <f>VLOOKUP(A17,'Bestellung Commande'!A27:O65,11,FALSE)</f>
        <v>0</v>
      </c>
      <c r="C55" s="9"/>
      <c r="D55" s="252">
        <f>IF(ISERROR(VLOOKUP($B55,DATEN!$A$3:$D$10,2,FALSE)),"",VLOOKUP($B55,DATEN!$A$3:$D$10,2,FALSE))</f>
        <v>0</v>
      </c>
      <c r="E55" s="252"/>
      <c r="F55" s="12">
        <f>IF(ISERROR(VLOOKUP($B55,DATEN!$A$3:$D$10,3,FALSE)),"",VLOOKUP($B55,DATEN!$A$3:$D$10,3,FALSE))</f>
        <v>0</v>
      </c>
      <c r="G55"/>
      <c r="H55"/>
      <c r="K55" s="265">
        <f>$F$22</f>
        <v>0</v>
      </c>
      <c r="L55" s="265"/>
    </row>
    <row r="56" spans="1:14" x14ac:dyDescent="0.2">
      <c r="A56" s="12">
        <v>2</v>
      </c>
      <c r="B56" s="9">
        <f>VLOOKUP(A17,'Bestellung Commande'!A27:O65,12,FALSE)</f>
        <v>0</v>
      </c>
      <c r="C56" s="9"/>
      <c r="D56" s="252">
        <f>IF(ISERROR(VLOOKUP($B56,DATEN!$A$3:$D$10,2,FALSE)),"",VLOOKUP($B56,DATEN!$A$3:$D$10,2,FALSE))</f>
        <v>0</v>
      </c>
      <c r="E56" s="252"/>
      <c r="F56" s="9">
        <f>IF(ISERROR(VLOOKUP($B56,DATEN!$A$3:$D$10,3,FALSE)),"",VLOOKUP($B56,DATEN!$A$3:$D$10,3,FALSE))</f>
        <v>0</v>
      </c>
      <c r="G56"/>
      <c r="H56"/>
      <c r="K56" s="265">
        <f t="shared" ref="K56:K58" si="8">$F$22</f>
        <v>0</v>
      </c>
      <c r="L56" s="265"/>
    </row>
    <row r="57" spans="1:14" x14ac:dyDescent="0.2">
      <c r="A57" s="12">
        <v>3</v>
      </c>
      <c r="B57" s="9">
        <f>VLOOKUP(A17,'Bestellung Commande'!A27:O65,13,FALSE)</f>
        <v>0</v>
      </c>
      <c r="C57" s="9"/>
      <c r="D57" s="252">
        <f>IF(ISERROR(VLOOKUP($B57,DATEN!$A$3:$D$10,2,FALSE)),"",VLOOKUP($B57,DATEN!$A$3:$D$10,2,FALSE))</f>
        <v>0</v>
      </c>
      <c r="E57" s="252"/>
      <c r="F57" s="9">
        <f>IF(ISERROR(VLOOKUP($B57,DATEN!$A$3:$D$10,3,FALSE)),"",VLOOKUP($B57,DATEN!$A$3:$D$10,3,FALSE))</f>
        <v>0</v>
      </c>
      <c r="K57" s="265">
        <f t="shared" si="8"/>
        <v>0</v>
      </c>
      <c r="L57" s="265"/>
    </row>
    <row r="58" spans="1:14" x14ac:dyDescent="0.2">
      <c r="A58" s="12">
        <v>4</v>
      </c>
      <c r="B58" s="9">
        <f>VLOOKUP(A17,'Bestellung Commande'!A27:O65,14,FALSE)</f>
        <v>0</v>
      </c>
      <c r="C58" s="9"/>
      <c r="D58" s="252">
        <f>IF(ISERROR(VLOOKUP($B58,DATEN!$A$3:$D$10,2,FALSE)),"",VLOOKUP($B58,DATEN!$A$3:$D$10,2,FALSE))</f>
        <v>0</v>
      </c>
      <c r="E58" s="252"/>
      <c r="F58" s="9">
        <f>IF(ISERROR(VLOOKUP($B58,DATEN!$A$3:$D$10,3,FALSE)),"",VLOOKUP($B58,DATEN!$A$3:$D$10,3,FALSE))</f>
        <v>0</v>
      </c>
      <c r="K58" s="265">
        <f t="shared" si="8"/>
        <v>0</v>
      </c>
      <c r="L58" s="265"/>
      <c r="N58" s="46">
        <f>'Bestellung Commande'!B44</f>
        <v>0</v>
      </c>
    </row>
  </sheetData>
  <sheetProtection algorithmName="SHA-512" hashValue="4qX+Bn8Udagjo0FCVpacgEMo483Ckr4sJl7VChUgskmyEVHvo8J6PQcPkFjm4+al0xsAyrkPzDbqEXyUAO0CkA==" saltValue="FgZ/SL6e2hzlK8Ohf4tLkw==" spinCount="100000" sheet="1" objects="1" scenarios="1"/>
  <mergeCells count="52">
    <mergeCell ref="D57:E57"/>
    <mergeCell ref="K57:L57"/>
    <mergeCell ref="D58:E58"/>
    <mergeCell ref="K58:L58"/>
    <mergeCell ref="A53:L53"/>
    <mergeCell ref="D54:E54"/>
    <mergeCell ref="K54:L54"/>
    <mergeCell ref="D55:E55"/>
    <mergeCell ref="K55:L55"/>
    <mergeCell ref="D56:E56"/>
    <mergeCell ref="K56:L56"/>
    <mergeCell ref="A40:L40"/>
    <mergeCell ref="A13:B13"/>
    <mergeCell ref="D13:F13"/>
    <mergeCell ref="A14:B14"/>
    <mergeCell ref="D14:F14"/>
    <mergeCell ref="B16:C16"/>
    <mergeCell ref="I16:L16"/>
    <mergeCell ref="B17:C17"/>
    <mergeCell ref="A20:N20"/>
    <mergeCell ref="A24:N24"/>
    <mergeCell ref="A29:N29"/>
    <mergeCell ref="A34:N34"/>
    <mergeCell ref="A10:B10"/>
    <mergeCell ref="D10:F10"/>
    <mergeCell ref="G10:N11"/>
    <mergeCell ref="A11:F11"/>
    <mergeCell ref="A12:B12"/>
    <mergeCell ref="D12:F12"/>
    <mergeCell ref="A6:B6"/>
    <mergeCell ref="D6:F6"/>
    <mergeCell ref="G6:N6"/>
    <mergeCell ref="A7:F7"/>
    <mergeCell ref="G7:N9"/>
    <mergeCell ref="A8:B8"/>
    <mergeCell ref="D8:F8"/>
    <mergeCell ref="A9:B9"/>
    <mergeCell ref="D9:F9"/>
    <mergeCell ref="D4:F4"/>
    <mergeCell ref="G4:J4"/>
    <mergeCell ref="K4:N4"/>
    <mergeCell ref="A5:B5"/>
    <mergeCell ref="D5:F5"/>
    <mergeCell ref="G5:J5"/>
    <mergeCell ref="K5:N5"/>
    <mergeCell ref="A1:N1"/>
    <mergeCell ref="A2:F2"/>
    <mergeCell ref="G2:N2"/>
    <mergeCell ref="A3:B3"/>
    <mergeCell ref="D3:F3"/>
    <mergeCell ref="G3:J3"/>
    <mergeCell ref="K3:N3"/>
  </mergeCells>
  <printOptions horizontalCentered="1"/>
  <pageMargins left="0.27" right="0.31" top="0.74803149606299213" bottom="0.74803149606299213" header="0.31496062992125984" footer="0.31496062992125984"/>
  <pageSetup paperSize="9" scale="87" orientation="portrait" r:id="rId1"/>
  <headerFooter>
    <oddHeader>&amp;R&amp;G</oddHeader>
    <oddFooter>&amp;LDuckdatum: &amp;D
&amp;F&amp;R&amp;P/&amp;N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B44DB9CC-2CDB-402B-BE91-B09CED37C3D4}">
          <x14:formula1>
            <xm:f>DATEN!$I$1:$J$1</xm:f>
          </x14:formula1>
          <xm:sqref>K3:N3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4151A-9F07-43E1-94BC-783BEFF92B39}">
  <sheetPr codeName="Tabelle12"/>
  <dimension ref="A1:X58"/>
  <sheetViews>
    <sheetView view="pageBreakPreview" topLeftCell="A3" zoomScaleNormal="120" zoomScaleSheetLayoutView="100" workbookViewId="0">
      <selection activeCell="A12" sqref="A12:B12"/>
    </sheetView>
  </sheetViews>
  <sheetFormatPr baseColWidth="10" defaultColWidth="11" defaultRowHeight="14.25" x14ac:dyDescent="0.2"/>
  <cols>
    <col min="1" max="3" width="8.875" customWidth="1"/>
    <col min="4" max="5" width="6.5" customWidth="1"/>
    <col min="6" max="6" width="10.625" customWidth="1"/>
    <col min="7" max="7" width="8.75" style="9" customWidth="1"/>
    <col min="8" max="8" width="8.875" style="9" customWidth="1"/>
    <col min="9" max="9" width="4.875" style="9" customWidth="1"/>
    <col min="10" max="10" width="8.75" customWidth="1"/>
    <col min="11" max="11" width="4.5" style="9" customWidth="1"/>
    <col min="12" max="13" width="4.5" customWidth="1"/>
    <col min="14" max="14" width="4.5" style="9" customWidth="1"/>
  </cols>
  <sheetData>
    <row r="1" spans="1:18" ht="23.25" x14ac:dyDescent="0.2">
      <c r="A1" s="238" t="s">
        <v>9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1:18" ht="15" x14ac:dyDescent="0.25">
      <c r="A2" s="253" t="s">
        <v>0</v>
      </c>
      <c r="B2" s="254"/>
      <c r="C2" s="254"/>
      <c r="D2" s="254"/>
      <c r="E2" s="254"/>
      <c r="F2" s="255"/>
      <c r="G2" s="161" t="s">
        <v>1</v>
      </c>
      <c r="H2" s="162"/>
      <c r="I2" s="162"/>
      <c r="J2" s="162"/>
      <c r="K2" s="162"/>
      <c r="L2" s="162"/>
      <c r="M2" s="162"/>
      <c r="N2" s="162"/>
    </row>
    <row r="3" spans="1:18" ht="15" x14ac:dyDescent="0.25">
      <c r="A3" s="165" t="str">
        <f>VLOOKUP(DATEN!I2,DATEN!$I$1:$J$39,IF($K$3="Deutsch", 1, 2),FALSE)</f>
        <v>Kunde Name:</v>
      </c>
      <c r="B3" s="167"/>
      <c r="C3" s="11"/>
      <c r="D3" s="212">
        <f>'Bestellung Commande'!C2</f>
        <v>0</v>
      </c>
      <c r="E3" s="212"/>
      <c r="F3" s="212"/>
      <c r="G3" s="256" t="s">
        <v>2</v>
      </c>
      <c r="H3" s="257"/>
      <c r="I3" s="257"/>
      <c r="J3" s="258"/>
      <c r="K3" s="259" t="s">
        <v>3</v>
      </c>
      <c r="L3" s="260"/>
      <c r="M3" s="260"/>
      <c r="N3" s="261"/>
    </row>
    <row r="4" spans="1:18" ht="15" x14ac:dyDescent="0.25">
      <c r="A4" s="10" t="str">
        <f>VLOOKUP(DATEN!I3,DATEN!$I$1:$J$39,IF($K$3="Deutsch", 1, 2),FALSE)</f>
        <v>Kontaktperson:</v>
      </c>
      <c r="B4" s="11"/>
      <c r="C4" s="11"/>
      <c r="D4" s="212">
        <f>'Bestellung Commande'!C3</f>
        <v>0</v>
      </c>
      <c r="E4" s="212"/>
      <c r="F4" s="212"/>
      <c r="G4" s="256" t="str">
        <f>VLOOKUP(DATEN!I9,DATEN!$I$1:$J$39,IF($K$3="Deutsch", 1, 2),FALSE)</f>
        <v>Bestelldatum:</v>
      </c>
      <c r="H4" s="257"/>
      <c r="I4" s="257"/>
      <c r="J4" s="258"/>
      <c r="K4" s="263">
        <f>'Bestellung Commande'!L3</f>
        <v>0</v>
      </c>
      <c r="L4" s="260"/>
      <c r="M4" s="260"/>
      <c r="N4" s="261"/>
    </row>
    <row r="5" spans="1:18" ht="15" x14ac:dyDescent="0.25">
      <c r="A5" s="165" t="str">
        <f>VLOOKUP(DATEN!I4,DATEN!$I$1:$J$39,IF($K$3="Deutsch", 1, 2),FALSE)</f>
        <v>Kommision:</v>
      </c>
      <c r="B5" s="167"/>
      <c r="C5" s="11"/>
      <c r="D5" s="212">
        <f>'Bestellung Commande'!C4</f>
        <v>0</v>
      </c>
      <c r="E5" s="212"/>
      <c r="F5" s="212"/>
      <c r="G5" s="256" t="str">
        <f>VLOOKUP(DATEN!I10,DATEN!$I$1:$J$39,IF($K$3="Deutsch", 1, 2),FALSE)</f>
        <v>Wunsch Liefertermin:</v>
      </c>
      <c r="H5" s="257"/>
      <c r="I5" s="257"/>
      <c r="J5" s="258"/>
      <c r="K5" s="263">
        <f>'Bestellung Commande'!L4</f>
        <v>0</v>
      </c>
      <c r="L5" s="260"/>
      <c r="M5" s="260"/>
      <c r="N5" s="261"/>
    </row>
    <row r="6" spans="1:18" ht="15" x14ac:dyDescent="0.25">
      <c r="A6" s="165" t="str">
        <f>VLOOKUP(DATEN!I5,DATEN!$I$1:$J$39,IF($K$3="Deutsch", 1, 2),FALSE)</f>
        <v>Kontakt Telefon:</v>
      </c>
      <c r="B6" s="167"/>
      <c r="C6" s="11"/>
      <c r="D6" s="212">
        <f>'Bestellung Commande'!C5</f>
        <v>0</v>
      </c>
      <c r="E6" s="212"/>
      <c r="F6" s="212"/>
      <c r="G6" s="163" t="str">
        <f>VLOOKUP(DATEN!I11,DATEN!$I$1:$J$39,IF($K$3="Deutsch", 1, 2),FALSE)</f>
        <v>Bemerkung:</v>
      </c>
      <c r="H6" s="164"/>
      <c r="I6" s="164"/>
      <c r="J6" s="164"/>
      <c r="K6" s="164"/>
      <c r="L6" s="164"/>
      <c r="M6" s="164"/>
      <c r="N6" s="164"/>
    </row>
    <row r="7" spans="1:18" ht="15" x14ac:dyDescent="0.25">
      <c r="A7" s="264" t="s">
        <v>4</v>
      </c>
      <c r="B7" s="264"/>
      <c r="C7" s="264"/>
      <c r="D7" s="264"/>
      <c r="E7" s="264"/>
      <c r="F7" s="264"/>
      <c r="G7" s="225" t="str">
        <f>VLOOKUP(DATEN!I11,DATEN!$I$1:$J$39,IF($K$3="Deutsch", 1, 2),FALSE)</f>
        <v>Bemerkung:</v>
      </c>
      <c r="H7" s="225"/>
      <c r="I7" s="225"/>
      <c r="J7" s="225"/>
      <c r="K7" s="225"/>
      <c r="L7" s="225"/>
      <c r="M7" s="225"/>
      <c r="N7" s="225"/>
    </row>
    <row r="8" spans="1:18" ht="15" x14ac:dyDescent="0.25">
      <c r="A8" s="165" t="str">
        <f>VLOOKUP(DATEN!I6,DATEN!$I$1:$J$39,IF($K$3="Deutsch", 1, 2),FALSE)</f>
        <v>Strasse:</v>
      </c>
      <c r="B8" s="167"/>
      <c r="C8" s="11"/>
      <c r="D8" s="212">
        <f>'Bestellung Commande'!C8</f>
        <v>0</v>
      </c>
      <c r="E8" s="212"/>
      <c r="F8" s="212"/>
      <c r="G8" s="225"/>
      <c r="H8" s="225"/>
      <c r="I8" s="225"/>
      <c r="J8" s="225"/>
      <c r="K8" s="225"/>
      <c r="L8" s="225"/>
      <c r="M8" s="225"/>
      <c r="N8" s="225"/>
    </row>
    <row r="9" spans="1:18" ht="15" x14ac:dyDescent="0.25">
      <c r="A9" s="165" t="str">
        <f>VLOOKUP(DATEN!I7,DATEN!$I$1:$J$39,IF($K$3="Deutsch", 1, 2),FALSE)</f>
        <v>PLZ Ort:</v>
      </c>
      <c r="B9" s="167"/>
      <c r="C9" s="11"/>
      <c r="D9" s="212">
        <f>'Bestellung Commande'!C9</f>
        <v>0</v>
      </c>
      <c r="E9" s="212"/>
      <c r="F9" s="212"/>
      <c r="G9" s="225"/>
      <c r="H9" s="225"/>
      <c r="I9" s="225"/>
      <c r="J9" s="225"/>
      <c r="K9" s="225"/>
      <c r="L9" s="225"/>
      <c r="M9" s="225"/>
      <c r="N9" s="225"/>
    </row>
    <row r="10" spans="1:18" ht="15" customHeight="1" x14ac:dyDescent="0.25">
      <c r="A10" s="165" t="str">
        <f>VLOOKUP(DATEN!I8,DATEN!$I$1:$J$39,IF($K$3="Deutsch", 1, 2),FALSE)</f>
        <v>Kontakt:</v>
      </c>
      <c r="B10" s="167"/>
      <c r="C10" s="11"/>
      <c r="D10" s="212">
        <f>'Bestellung Commande'!C10</f>
        <v>0</v>
      </c>
      <c r="E10" s="212"/>
      <c r="F10" s="212"/>
      <c r="G10" s="262" t="str">
        <f>IF(VLOOKUP($A$17,'Bestellung Commande'!$A$27:$O$65,10,FALSE)&lt;&gt;"","Sonderbau!!!","")</f>
        <v/>
      </c>
      <c r="H10" s="262"/>
      <c r="I10" s="262"/>
      <c r="J10" s="262"/>
      <c r="K10" s="262"/>
      <c r="L10" s="262"/>
      <c r="M10" s="262"/>
      <c r="N10" s="262"/>
    </row>
    <row r="11" spans="1:18" ht="15" customHeight="1" x14ac:dyDescent="0.25">
      <c r="A11" s="264" t="s">
        <v>5</v>
      </c>
      <c r="B11" s="264"/>
      <c r="C11" s="264"/>
      <c r="D11" s="264"/>
      <c r="E11" s="264"/>
      <c r="F11" s="264"/>
      <c r="G11" s="262"/>
      <c r="H11" s="262"/>
      <c r="I11" s="262"/>
      <c r="J11" s="262"/>
      <c r="K11" s="262"/>
      <c r="L11" s="262"/>
      <c r="M11" s="262"/>
      <c r="N11" s="262"/>
    </row>
    <row r="12" spans="1:18" ht="15" customHeight="1" x14ac:dyDescent="0.4">
      <c r="A12" s="165" t="str">
        <f>VLOOKUP(DATEN!I6,DATEN!$I$1:$J$39,IF($K$3="Deutsch", 1, 2),FALSE)</f>
        <v>Strasse:</v>
      </c>
      <c r="B12" s="167"/>
      <c r="C12" s="11"/>
      <c r="D12" s="212">
        <f>'Bestellung Commande'!C12</f>
        <v>0</v>
      </c>
      <c r="E12" s="212"/>
      <c r="F12" s="212"/>
      <c r="G12" s="146"/>
      <c r="H12" s="146"/>
      <c r="I12" s="146"/>
      <c r="J12" s="146"/>
      <c r="K12" s="146"/>
      <c r="L12" s="146"/>
      <c r="M12" s="146"/>
      <c r="N12" s="146"/>
    </row>
    <row r="13" spans="1:18" ht="15" customHeight="1" x14ac:dyDescent="0.4">
      <c r="A13" s="165" t="str">
        <f>VLOOKUP(DATEN!I7,DATEN!$I$1:$J$39,IF($K$3="Deutsch", 1, 2),FALSE)</f>
        <v>PLZ Ort:</v>
      </c>
      <c r="B13" s="167"/>
      <c r="C13" s="11"/>
      <c r="D13" s="212">
        <f>'Bestellung Commande'!C13</f>
        <v>0</v>
      </c>
      <c r="E13" s="212"/>
      <c r="F13" s="212"/>
      <c r="G13" s="146"/>
      <c r="H13" s="146"/>
      <c r="I13" s="146"/>
      <c r="J13" s="146"/>
      <c r="K13" s="146"/>
      <c r="L13" s="146"/>
      <c r="M13" s="146"/>
      <c r="N13" s="146"/>
    </row>
    <row r="14" spans="1:18" ht="15" customHeight="1" x14ac:dyDescent="0.4">
      <c r="A14" s="165" t="str">
        <f>VLOOKUP(DATEN!I8,DATEN!$I$1:$J$39,IF($K$3="Deutsch", 1, 2),FALSE)</f>
        <v>Kontakt:</v>
      </c>
      <c r="B14" s="167"/>
      <c r="C14" s="11"/>
      <c r="D14" s="212">
        <f>'Bestellung Commande'!C14</f>
        <v>0</v>
      </c>
      <c r="E14" s="212"/>
      <c r="F14" s="212"/>
      <c r="G14" s="146"/>
      <c r="H14" s="146"/>
      <c r="I14" s="146"/>
      <c r="J14" s="146"/>
      <c r="K14" s="146"/>
      <c r="L14" s="146"/>
      <c r="M14" s="146"/>
      <c r="N14" s="146"/>
    </row>
    <row r="15" spans="1:18" ht="15.75" thickBot="1" x14ac:dyDescent="0.3">
      <c r="A15" s="140" t="str">
        <f>'Bestellung Commande'!A67</f>
        <v>V9.5</v>
      </c>
      <c r="B15" s="14"/>
      <c r="C15" s="14"/>
      <c r="D15" s="15"/>
      <c r="E15" s="15"/>
      <c r="F15" s="15"/>
      <c r="G15" s="13"/>
      <c r="H15" s="13"/>
      <c r="I15" s="13"/>
      <c r="J15" s="13"/>
      <c r="K15" s="13"/>
      <c r="L15" s="13"/>
      <c r="M15" s="16">
        <f>'Bestellung Commande'!N24</f>
        <v>73</v>
      </c>
      <c r="N15" s="13"/>
      <c r="O15" s="20" t="s">
        <v>220</v>
      </c>
      <c r="P15" s="9"/>
      <c r="Q15" s="9"/>
      <c r="R15" s="9"/>
    </row>
    <row r="16" spans="1:18" s="19" customFormat="1" ht="28.5" customHeight="1" x14ac:dyDescent="0.2">
      <c r="A16" s="17" t="s">
        <v>216</v>
      </c>
      <c r="B16" s="176" t="str">
        <f>VLOOKUP(DATEN!I14,DATEN!$I$1:$J$39,IF($K$3="Deutsch", 1, 2),FALSE)</f>
        <v>Anz.
Flügel</v>
      </c>
      <c r="C16" s="176"/>
      <c r="D16" s="17" t="str">
        <f>VLOOKUP(DATEN!I15,DATEN!$I$1:$J$39,IF($K$3="Deutsch", 1, 2),FALSE)</f>
        <v>Stk Schw.</v>
      </c>
      <c r="E16" s="17" t="str">
        <f>VLOOKUP(DATEN!I16,DATEN!$I$1:$J$39,IF($K$3="Deutsch", 1, 2),FALSE)</f>
        <v>RA</v>
      </c>
      <c r="F16" s="17" t="str">
        <f>VLOOKUP(DATEN!I17,DATEN!$I$1:$J$39,IF($K$3="Deutsch", 1, 2),FALSE)</f>
        <v>RBL 
(min45)</v>
      </c>
      <c r="G16" s="17" t="str">
        <f>VLOOKUP(DATEN!I18,DATEN!$I$1:$J$39,IF($K$3="Deutsch", 1, 2),FALSE)</f>
        <v>RBR 
(min45)</v>
      </c>
      <c r="H16" s="17"/>
      <c r="I16" s="184" t="str">
        <f>VLOOKUP(DATEN!I19,DATEN!$I$1:$J$39,IF($K$3="Deutsch", 1, 2),FALSE)</f>
        <v>Verbreiterungen</v>
      </c>
      <c r="J16" s="185"/>
      <c r="K16" s="185"/>
      <c r="L16" s="185"/>
      <c r="M16" s="18" t="str">
        <f>VLOOKUP(DATEN!I20,DATEN!$I$1:$J$39,IF($K$3="Deutsch",1,2),FALSE)</f>
        <v>Total</v>
      </c>
      <c r="N16" s="17"/>
      <c r="O16" s="20" t="str">
        <f>E25</f>
        <v>Profil</v>
      </c>
      <c r="P16" s="20" t="str">
        <f>A26</f>
        <v>Links</v>
      </c>
      <c r="Q16" s="20" t="str">
        <f>A27</f>
        <v>Rechts</v>
      </c>
      <c r="R16" s="20" t="str">
        <f>A28</f>
        <v>Mittelteil</v>
      </c>
    </row>
    <row r="17" spans="1:24" ht="15" thickBot="1" x14ac:dyDescent="0.25">
      <c r="A17" s="41">
        <v>9</v>
      </c>
      <c r="B17" s="268">
        <f>VLOOKUP($A$17,'Bestellung Commande'!$A$27:$O$65,3,FALSE)</f>
        <v>0</v>
      </c>
      <c r="C17" s="268"/>
      <c r="D17" s="41">
        <f>VLOOKUP($A$17,'Bestellung Commande'!$A$27:$O$65,5,FALSE)</f>
        <v>0</v>
      </c>
      <c r="E17" s="41">
        <f>VLOOKUP($A$17,'Bestellung Commande'!$A$27:$O$65,6,FALSE)</f>
        <v>0</v>
      </c>
      <c r="F17" s="41">
        <f>VLOOKUP($A$17,'Bestellung Commande'!$A$27:$O$65,7,FALSE)</f>
        <v>0</v>
      </c>
      <c r="G17" s="41">
        <f>VLOOKUP($A$17,'Bestellung Commande'!$A$27:$O$65,8,FALSE)</f>
        <v>0</v>
      </c>
      <c r="H17" s="41">
        <f>VLOOKUP($A$17,'Bestellung Commande'!$A$27:$O$65,9,FALSE)</f>
        <v>0</v>
      </c>
      <c r="I17" s="22">
        <f>VLOOKUP($A$17,'Bestellung Commande'!$A$27:$O$65,10,FALSE)</f>
        <v>0</v>
      </c>
      <c r="J17" s="23">
        <f>VLOOKUP($A$17,'Bestellung Commande'!$A$27:$O$65,11,FALSE)</f>
        <v>0</v>
      </c>
      <c r="K17" s="23">
        <f>VLOOKUP($A$17,'Bestellung Commande'!$A$27:$O$65,12,FALSE)</f>
        <v>0</v>
      </c>
      <c r="L17" s="23">
        <f>VLOOKUP($A$17,'Bestellung Commande'!$A$27:$O$65,13,FALSE)</f>
        <v>0</v>
      </c>
      <c r="M17" s="125">
        <f>VLOOKUP($A$17,'Bestellung Commande'!$A$27:$O$65,14,FALSE)</f>
        <v>0</v>
      </c>
      <c r="N17" s="24"/>
      <c r="O17" s="9" t="str">
        <f>F25</f>
        <v>C298927</v>
      </c>
      <c r="P17" s="29">
        <f>F26</f>
        <v>20</v>
      </c>
      <c r="Q17" s="29">
        <f>F27</f>
        <v>20</v>
      </c>
      <c r="R17" s="29">
        <f>F28</f>
        <v>-42</v>
      </c>
    </row>
    <row r="18" spans="1:24" x14ac:dyDescent="0.2">
      <c r="B18" s="41" cm="1">
        <f t="array" ref="B18">INDEX('Bestellung Commande'!$C$27:$C$66, MATCH($A$17, 'Bestellung Commande'!$A$27:$A$66, 0) + 1)</f>
        <v>0</v>
      </c>
      <c r="C18" s="41" cm="1">
        <f t="array" ref="C18">INDEX('Bestellung Commande'!$D$27:$D$66, MATCH($A$17, 'Bestellung Commande'!$A$27:$A$66, 0) + 1)</f>
        <v>0</v>
      </c>
    </row>
    <row r="20" spans="1:24" ht="15" x14ac:dyDescent="0.25">
      <c r="A20" s="267" t="s">
        <v>10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</row>
    <row r="21" spans="1:24" ht="15" x14ac:dyDescent="0.25">
      <c r="E21" s="25" t="s">
        <v>11</v>
      </c>
      <c r="F21" s="9" t="s">
        <v>12</v>
      </c>
      <c r="G21"/>
      <c r="H21"/>
      <c r="I21"/>
    </row>
    <row r="22" spans="1:24" x14ac:dyDescent="0.2">
      <c r="E22" t="s">
        <v>13</v>
      </c>
      <c r="F22" s="26">
        <f>E17</f>
        <v>0</v>
      </c>
      <c r="G22"/>
      <c r="H22"/>
      <c r="I22"/>
    </row>
    <row r="23" spans="1:24" x14ac:dyDescent="0.2">
      <c r="F23" s="9">
        <f>B17</f>
        <v>0</v>
      </c>
      <c r="G23"/>
      <c r="H23"/>
      <c r="I23"/>
    </row>
    <row r="24" spans="1:24" ht="15" x14ac:dyDescent="0.25">
      <c r="A24" s="267" t="s">
        <v>14</v>
      </c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</row>
    <row r="25" spans="1:24" ht="15" x14ac:dyDescent="0.25">
      <c r="E25" s="25" t="s">
        <v>11</v>
      </c>
      <c r="F25" s="9" t="s">
        <v>15</v>
      </c>
      <c r="G25"/>
      <c r="H25"/>
      <c r="I25"/>
    </row>
    <row r="26" spans="1:24" x14ac:dyDescent="0.2">
      <c r="A26" t="s">
        <v>16</v>
      </c>
      <c r="E26" t="s">
        <v>13</v>
      </c>
      <c r="F26" s="26">
        <f>F17+20</f>
        <v>20</v>
      </c>
      <c r="G26"/>
      <c r="H26"/>
      <c r="I26"/>
      <c r="W26" s="121" t="s">
        <v>208</v>
      </c>
      <c r="X26" s="122">
        <f>F37-F36</f>
        <v>-100</v>
      </c>
    </row>
    <row r="27" spans="1:24" x14ac:dyDescent="0.2">
      <c r="A27" t="s">
        <v>17</v>
      </c>
      <c r="E27" t="s">
        <v>13</v>
      </c>
      <c r="F27" s="26">
        <f>G17+20</f>
        <v>20</v>
      </c>
      <c r="G27"/>
      <c r="H27"/>
      <c r="I27"/>
      <c r="W27" t="s">
        <v>209</v>
      </c>
      <c r="X27">
        <f>[1]DATEN!D14</f>
        <v>300</v>
      </c>
    </row>
    <row r="28" spans="1:24" x14ac:dyDescent="0.2">
      <c r="A28" t="s">
        <v>18</v>
      </c>
      <c r="E28" t="s">
        <v>13</v>
      </c>
      <c r="F28" s="26">
        <f>(E17-(F26+F27))-2</f>
        <v>-42</v>
      </c>
      <c r="G28"/>
      <c r="H28"/>
      <c r="I28"/>
      <c r="P28" t="s">
        <v>293</v>
      </c>
      <c r="T28" t="s">
        <v>294</v>
      </c>
      <c r="W28" t="s">
        <v>210</v>
      </c>
      <c r="X28">
        <f>ROUNDUP(X26/X27,0)</f>
        <v>-1</v>
      </c>
    </row>
    <row r="29" spans="1:24" ht="15" x14ac:dyDescent="0.25">
      <c r="A29" s="267" t="s">
        <v>19</v>
      </c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7" t="str">
        <f t="shared" ref="O29:O39" si="0">IF(AND($F$32&gt;=Q29,$F$32&lt;R29),P29,"")</f>
        <v/>
      </c>
      <c r="P29" s="28" t="str">
        <f>" "</f>
        <v xml:space="preserve"> </v>
      </c>
      <c r="Q29" s="28">
        <v>-1000000</v>
      </c>
      <c r="R29" s="28">
        <v>0</v>
      </c>
      <c r="S29" s="27" t="str">
        <f t="shared" ref="S29:S39" si="1">IF(AND($G$32&gt;=U29,$G$32&lt;V29),T29,"")</f>
        <v/>
      </c>
      <c r="T29" s="28" t="str">
        <f t="shared" ref="T29:T30" si="2">P29</f>
        <v xml:space="preserve"> </v>
      </c>
      <c r="U29" s="28">
        <f t="shared" ref="U29:U30" si="3">Q29</f>
        <v>-1000000</v>
      </c>
      <c r="V29" s="28">
        <f t="shared" ref="V29:V30" si="4">R29</f>
        <v>0</v>
      </c>
      <c r="W29" t="s">
        <v>211</v>
      </c>
      <c r="X29">
        <f>X26/X28</f>
        <v>100</v>
      </c>
    </row>
    <row r="30" spans="1:24" ht="15" x14ac:dyDescent="0.25">
      <c r="F30" s="25" t="s">
        <v>293</v>
      </c>
      <c r="G30" s="25" t="s">
        <v>294</v>
      </c>
      <c r="H30"/>
      <c r="I30"/>
      <c r="K30"/>
      <c r="N30"/>
      <c r="O30" s="27" t="str">
        <f t="shared" si="0"/>
        <v/>
      </c>
      <c r="P30" s="28"/>
      <c r="Q30" s="28">
        <v>0.1</v>
      </c>
      <c r="R30" s="28">
        <v>247.9</v>
      </c>
      <c r="S30" s="27" t="str">
        <f t="shared" si="1"/>
        <v/>
      </c>
      <c r="T30" s="28">
        <f t="shared" si="2"/>
        <v>0</v>
      </c>
      <c r="U30" s="28">
        <f t="shared" si="3"/>
        <v>0.1</v>
      </c>
      <c r="V30" s="28">
        <f t="shared" si="4"/>
        <v>247.9</v>
      </c>
    </row>
    <row r="31" spans="1:24" x14ac:dyDescent="0.2">
      <c r="F31" s="9" t="str">
        <f>O29&amp;O31&amp;O32&amp;O33&amp;O34&amp;O35&amp;O36&amp;O37&amp;O38&amp;O39</f>
        <v/>
      </c>
      <c r="G31" s="9" t="str">
        <f>S29&amp;S31&amp;S32&amp;S33&amp;S34&amp;S35&amp;S36&amp;S37&amp;S38&amp;S39</f>
        <v/>
      </c>
      <c r="I31"/>
      <c r="O31" s="27" t="str">
        <f t="shared" si="0"/>
        <v/>
      </c>
      <c r="P31" s="28" t="str">
        <f>DATEN!M7</f>
        <v>C555366</v>
      </c>
      <c r="Q31" s="28">
        <f>DATEN!N7</f>
        <v>275</v>
      </c>
      <c r="R31" s="28">
        <f>DATEN!O7</f>
        <v>400</v>
      </c>
      <c r="S31" s="27" t="str">
        <f t="shared" si="1"/>
        <v/>
      </c>
      <c r="T31" s="28" t="str">
        <f>P31</f>
        <v>C555366</v>
      </c>
      <c r="U31" s="28">
        <f t="shared" ref="U31:V39" si="5">Q31</f>
        <v>275</v>
      </c>
      <c r="V31" s="28">
        <f t="shared" si="5"/>
        <v>400</v>
      </c>
      <c r="W31">
        <v>1</v>
      </c>
      <c r="X31" s="29">
        <f>F36</f>
        <v>50</v>
      </c>
    </row>
    <row r="32" spans="1:24" x14ac:dyDescent="0.2">
      <c r="A32" t="s">
        <v>13</v>
      </c>
      <c r="F32" s="26" t="b">
        <f>IF(AND(B17=1,B18=0),H17,IF(AND(B17=1,B18&gt;0),B18,IF(AND(B17=2,B18=0),(H17-20)/2,IF(AND(B17=2,B18&gt;0),B18))))</f>
        <v>0</v>
      </c>
      <c r="G32" s="26">
        <f>IF(B17=1,0,IF(AND(B17=2,C18=0),0,C18))</f>
        <v>0</v>
      </c>
      <c r="I32"/>
      <c r="O32" s="27" t="str">
        <f t="shared" si="0"/>
        <v/>
      </c>
      <c r="P32" s="28" t="str">
        <f>DATEN!M8</f>
        <v>C555367</v>
      </c>
      <c r="Q32" s="28">
        <f>DATEN!N8</f>
        <v>400</v>
      </c>
      <c r="R32" s="28">
        <f>DATEN!O8</f>
        <v>550</v>
      </c>
      <c r="S32" s="27" t="str">
        <f t="shared" si="1"/>
        <v/>
      </c>
      <c r="T32" s="28" t="str">
        <f t="shared" ref="T32:T39" si="6">P32</f>
        <v>C555367</v>
      </c>
      <c r="U32" s="28">
        <f t="shared" si="5"/>
        <v>400</v>
      </c>
      <c r="V32" s="28">
        <f t="shared" si="5"/>
        <v>550</v>
      </c>
      <c r="W32">
        <v>2</v>
      </c>
      <c r="X32" s="29">
        <f>ROUND(IF(W32-1&gt;$X$28,0,X31+$X$29),0)</f>
        <v>0</v>
      </c>
    </row>
    <row r="33" spans="1:24" x14ac:dyDescent="0.2">
      <c r="A33" t="s">
        <v>23</v>
      </c>
      <c r="F33" s="30">
        <f>IF(AND(B17=2,B18=0),B17,1)*D17</f>
        <v>0</v>
      </c>
      <c r="G33" s="30">
        <f>IF(G32&gt;0,1,0)*D17</f>
        <v>0</v>
      </c>
      <c r="I33"/>
      <c r="O33" s="27" t="str">
        <f t="shared" si="0"/>
        <v/>
      </c>
      <c r="P33" s="28" t="str">
        <f>DATEN!M9</f>
        <v>C555368</v>
      </c>
      <c r="Q33" s="28">
        <f>DATEN!N9</f>
        <v>550</v>
      </c>
      <c r="R33" s="28">
        <f>DATEN!O9</f>
        <v>700</v>
      </c>
      <c r="S33" s="27" t="str">
        <f t="shared" si="1"/>
        <v/>
      </c>
      <c r="T33" s="28" t="str">
        <f t="shared" si="6"/>
        <v>C555368</v>
      </c>
      <c r="U33" s="28">
        <f t="shared" si="5"/>
        <v>550</v>
      </c>
      <c r="V33" s="28">
        <f t="shared" si="5"/>
        <v>700</v>
      </c>
      <c r="W33">
        <v>3</v>
      </c>
      <c r="X33" s="29">
        <f t="shared" ref="X33:X40" si="7">ROUND(IF(W33-1&gt;$X$28,0,X32+$X$29),0)</f>
        <v>0</v>
      </c>
    </row>
    <row r="34" spans="1:24" ht="15" x14ac:dyDescent="0.25">
      <c r="A34" s="267" t="s">
        <v>25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7" t="str">
        <f>IF(AND($F$32&gt;=Q34,$F$32&lt;R34),P34,"")</f>
        <v/>
      </c>
      <c r="P34" s="28" t="str">
        <f>DATEN!M10</f>
        <v>C555369</v>
      </c>
      <c r="Q34" s="28">
        <f>DATEN!N10</f>
        <v>700</v>
      </c>
      <c r="R34" s="28">
        <f>DATEN!O10</f>
        <v>850</v>
      </c>
      <c r="S34" s="27" t="str">
        <f t="shared" si="1"/>
        <v/>
      </c>
      <c r="T34" s="28" t="str">
        <f t="shared" si="6"/>
        <v>C555369</v>
      </c>
      <c r="U34" s="28">
        <f t="shared" si="5"/>
        <v>700</v>
      </c>
      <c r="V34" s="28">
        <f t="shared" si="5"/>
        <v>850</v>
      </c>
      <c r="W34">
        <v>4</v>
      </c>
      <c r="X34" s="29">
        <f t="shared" si="7"/>
        <v>0</v>
      </c>
    </row>
    <row r="35" spans="1:24" ht="15" x14ac:dyDescent="0.25">
      <c r="A35" s="31" t="s">
        <v>27</v>
      </c>
      <c r="F35" s="9" t="s">
        <v>28</v>
      </c>
      <c r="G35" s="32" t="s">
        <v>29</v>
      </c>
      <c r="H35" s="32"/>
      <c r="I35"/>
      <c r="O35" s="27" t="str">
        <f t="shared" si="0"/>
        <v/>
      </c>
      <c r="P35" s="28" t="str">
        <f>DATEN!M11</f>
        <v>C555370</v>
      </c>
      <c r="Q35" s="28">
        <f>DATEN!N11</f>
        <v>850</v>
      </c>
      <c r="R35" s="28">
        <f>DATEN!O11</f>
        <v>1000</v>
      </c>
      <c r="S35" s="27" t="str">
        <f>IF(AND($G$32&gt;=U35,$G$32&lt;V35),T35,"")</f>
        <v/>
      </c>
      <c r="T35" s="28" t="str">
        <f t="shared" si="6"/>
        <v>C555370</v>
      </c>
      <c r="U35" s="28">
        <f t="shared" si="5"/>
        <v>850</v>
      </c>
      <c r="V35" s="28">
        <f t="shared" si="5"/>
        <v>1000</v>
      </c>
      <c r="W35">
        <v>5</v>
      </c>
      <c r="X35" s="29">
        <f t="shared" si="7"/>
        <v>0</v>
      </c>
    </row>
    <row r="36" spans="1:24" x14ac:dyDescent="0.2">
      <c r="A36" t="s">
        <v>31</v>
      </c>
      <c r="F36" s="26">
        <f>F17+50</f>
        <v>50</v>
      </c>
      <c r="G36"/>
      <c r="H36" t="s">
        <v>206</v>
      </c>
      <c r="I36"/>
      <c r="O36" s="27" t="str">
        <f t="shared" si="0"/>
        <v/>
      </c>
      <c r="P36" s="28" t="str">
        <f>DATEN!M12</f>
        <v>C555371</v>
      </c>
      <c r="Q36" s="28">
        <f>DATEN!N12</f>
        <v>1000</v>
      </c>
      <c r="R36" s="28">
        <f>DATEN!O12</f>
        <v>1150</v>
      </c>
      <c r="S36" s="27" t="str">
        <f t="shared" si="1"/>
        <v/>
      </c>
      <c r="T36" s="28" t="str">
        <f t="shared" si="6"/>
        <v>C555371</v>
      </c>
      <c r="U36" s="28">
        <f t="shared" si="5"/>
        <v>1000</v>
      </c>
      <c r="V36" s="28">
        <f t="shared" si="5"/>
        <v>1150</v>
      </c>
      <c r="W36">
        <v>6</v>
      </c>
      <c r="X36" s="29">
        <f t="shared" si="7"/>
        <v>0</v>
      </c>
    </row>
    <row r="37" spans="1:24" x14ac:dyDescent="0.2">
      <c r="A37" t="s">
        <v>33</v>
      </c>
      <c r="F37" s="26">
        <f>F17+H17-DATEN!$D$13</f>
        <v>-50</v>
      </c>
      <c r="H37" t="s">
        <v>36</v>
      </c>
      <c r="I37"/>
      <c r="J37" s="9">
        <f>X28+1</f>
        <v>0</v>
      </c>
      <c r="O37" s="27" t="str">
        <f t="shared" si="0"/>
        <v/>
      </c>
      <c r="P37" s="28" t="str">
        <f>DATEN!M13</f>
        <v>C555372</v>
      </c>
      <c r="Q37" s="28">
        <f>DATEN!N13</f>
        <v>1150</v>
      </c>
      <c r="R37" s="28">
        <f>DATEN!O13</f>
        <v>1300</v>
      </c>
      <c r="S37" s="27" t="str">
        <f t="shared" si="1"/>
        <v/>
      </c>
      <c r="T37" s="28" t="str">
        <f t="shared" si="6"/>
        <v>C555372</v>
      </c>
      <c r="U37" s="28">
        <f t="shared" si="5"/>
        <v>1150</v>
      </c>
      <c r="V37" s="28">
        <f t="shared" si="5"/>
        <v>1300</v>
      </c>
      <c r="W37">
        <v>7</v>
      </c>
      <c r="X37" s="29">
        <f t="shared" si="7"/>
        <v>0</v>
      </c>
    </row>
    <row r="38" spans="1:24" x14ac:dyDescent="0.2">
      <c r="A38" s="33" t="s">
        <v>35</v>
      </c>
      <c r="F38" s="123" t="str">
        <f>X31&amp;IF(X32="",""," / ")&amp;X32  &amp; IF(X33="",""," / ")&amp;X33&amp; IF(X34="",""," / ")&amp;X34&amp; IF(X35="",""," / ")&amp;X35&amp; IF(X36="",""," / ")&amp;X36&amp; IF(X37="",""," / ")&amp;X37&amp; IF(X38="",""," / ")&amp;X38&amp; IF(X39="",""," / ")&amp;X39&amp; IF(X40="",""," / ")&amp;X40</f>
        <v>50 / 0 / 0 / 0 / 0 / 0 / 0 / 0 / 0 / 0</v>
      </c>
      <c r="O38" s="27" t="str">
        <f t="shared" si="0"/>
        <v/>
      </c>
      <c r="P38" s="28" t="str">
        <f>DATEN!M14</f>
        <v>C555373</v>
      </c>
      <c r="Q38" s="28">
        <f>DATEN!N14</f>
        <v>1300</v>
      </c>
      <c r="R38" s="28">
        <f>DATEN!O14</f>
        <v>1450</v>
      </c>
      <c r="S38" s="27" t="str">
        <f t="shared" si="1"/>
        <v/>
      </c>
      <c r="T38" s="28" t="str">
        <f t="shared" si="6"/>
        <v>C555373</v>
      </c>
      <c r="U38" s="28">
        <f t="shared" si="5"/>
        <v>1300</v>
      </c>
      <c r="V38" s="28">
        <f t="shared" si="5"/>
        <v>1450</v>
      </c>
      <c r="W38">
        <v>8</v>
      </c>
      <c r="X38" s="29">
        <f t="shared" si="7"/>
        <v>0</v>
      </c>
    </row>
    <row r="39" spans="1:24" x14ac:dyDescent="0.2">
      <c r="F39" s="9"/>
      <c r="G39"/>
      <c r="H39"/>
      <c r="I39"/>
      <c r="O39" s="27" t="str">
        <f t="shared" si="0"/>
        <v/>
      </c>
      <c r="P39" s="28" t="str">
        <f>DATEN!M15</f>
        <v>Zu Lang</v>
      </c>
      <c r="Q39" s="28">
        <f>DATEN!N15</f>
        <v>1450.1</v>
      </c>
      <c r="R39" s="28">
        <f>DATEN!O15</f>
        <v>1000000</v>
      </c>
      <c r="S39" s="27" t="str">
        <f t="shared" si="1"/>
        <v/>
      </c>
      <c r="T39" s="28" t="str">
        <f t="shared" si="6"/>
        <v>Zu Lang</v>
      </c>
      <c r="U39" s="28">
        <f t="shared" si="5"/>
        <v>1450.1</v>
      </c>
      <c r="V39" s="28">
        <f t="shared" si="5"/>
        <v>1000000</v>
      </c>
      <c r="W39">
        <v>9</v>
      </c>
      <c r="X39" s="29">
        <f t="shared" si="7"/>
        <v>0</v>
      </c>
    </row>
    <row r="40" spans="1:24" ht="15" x14ac:dyDescent="0.25">
      <c r="A40" s="267" t="s">
        <v>39</v>
      </c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W40">
        <v>10</v>
      </c>
      <c r="X40" s="29">
        <f t="shared" si="7"/>
        <v>0</v>
      </c>
    </row>
    <row r="41" spans="1:24" x14ac:dyDescent="0.2">
      <c r="A41" t="s">
        <v>41</v>
      </c>
      <c r="F41" s="26">
        <f>G17-15</f>
        <v>-15</v>
      </c>
      <c r="G41"/>
      <c r="H41"/>
      <c r="I41"/>
    </row>
    <row r="42" spans="1:24" x14ac:dyDescent="0.2">
      <c r="A42" t="s">
        <v>42</v>
      </c>
      <c r="F42" s="26">
        <f>E17-G17+15</f>
        <v>15</v>
      </c>
      <c r="G42"/>
      <c r="H42"/>
      <c r="I42"/>
    </row>
    <row r="43" spans="1:24" x14ac:dyDescent="0.2">
      <c r="A43" t="s">
        <v>43</v>
      </c>
      <c r="F43" s="26">
        <f>G17-35</f>
        <v>-35</v>
      </c>
      <c r="G43"/>
      <c r="H43"/>
      <c r="I43"/>
    </row>
    <row r="44" spans="1:24" x14ac:dyDescent="0.2">
      <c r="A44" t="s">
        <v>44</v>
      </c>
      <c r="F44" s="26">
        <f>E17-G17+35</f>
        <v>35</v>
      </c>
      <c r="G44"/>
      <c r="H44"/>
      <c r="I44"/>
    </row>
    <row r="45" spans="1:24" x14ac:dyDescent="0.2">
      <c r="A45" t="s">
        <v>45</v>
      </c>
      <c r="F45" s="26">
        <f>F17-23</f>
        <v>-23</v>
      </c>
      <c r="G45"/>
      <c r="H45"/>
      <c r="I45"/>
    </row>
    <row r="46" spans="1:24" x14ac:dyDescent="0.2">
      <c r="A46" t="s">
        <v>46</v>
      </c>
      <c r="F46" s="26">
        <f>E17-G17+23</f>
        <v>23</v>
      </c>
      <c r="G46"/>
      <c r="H46"/>
      <c r="I46"/>
    </row>
    <row r="47" spans="1:24" x14ac:dyDescent="0.2">
      <c r="F47" s="9"/>
      <c r="G47"/>
      <c r="H47"/>
      <c r="I47"/>
      <c r="P47" s="9"/>
    </row>
    <row r="48" spans="1:24" ht="15" x14ac:dyDescent="0.25">
      <c r="A48" s="34" t="s">
        <v>47</v>
      </c>
      <c r="B48" s="35"/>
      <c r="C48" s="35"/>
      <c r="D48" s="35"/>
      <c r="E48" s="35"/>
      <c r="F48" s="35" t="s">
        <v>48</v>
      </c>
      <c r="G48" s="35"/>
      <c r="H48" s="35"/>
      <c r="I48" s="35"/>
      <c r="J48" s="35"/>
      <c r="K48" s="35"/>
      <c r="L48" s="35"/>
    </row>
    <row r="49" spans="1:14" x14ac:dyDescent="0.2">
      <c r="A49" t="s">
        <v>49</v>
      </c>
      <c r="F49" s="26">
        <v>25</v>
      </c>
      <c r="G49"/>
      <c r="H49"/>
      <c r="I49"/>
    </row>
    <row r="50" spans="1:14" x14ac:dyDescent="0.2">
      <c r="A50" t="s">
        <v>33</v>
      </c>
      <c r="F50" s="26">
        <f>F28-25</f>
        <v>-67</v>
      </c>
      <c r="G50"/>
      <c r="H50"/>
      <c r="I50"/>
    </row>
    <row r="51" spans="1:14" x14ac:dyDescent="0.2">
      <c r="A51" s="33" t="s">
        <v>35</v>
      </c>
      <c r="F51" s="36" t="s">
        <v>50</v>
      </c>
      <c r="G51"/>
      <c r="H51"/>
      <c r="I51" t="s">
        <v>36</v>
      </c>
    </row>
    <row r="52" spans="1:14" x14ac:dyDescent="0.2">
      <c r="F52" s="129" t="str">
        <f>IF(B17=2,"Achtung!! 2 Flüglig!! Mittleres Loch auslassen","")</f>
        <v/>
      </c>
      <c r="G52"/>
      <c r="H52"/>
      <c r="I52"/>
    </row>
    <row r="53" spans="1:14" ht="15" x14ac:dyDescent="0.25">
      <c r="A53" s="267" t="s">
        <v>51</v>
      </c>
      <c r="B53" s="267"/>
      <c r="C53" s="267"/>
      <c r="D53" s="267"/>
      <c r="E53" s="267"/>
      <c r="F53" s="267"/>
      <c r="G53" s="267"/>
      <c r="H53" s="267"/>
      <c r="I53" s="267"/>
      <c r="J53" s="267"/>
      <c r="K53" s="267"/>
      <c r="L53" s="267"/>
    </row>
    <row r="54" spans="1:14" x14ac:dyDescent="0.2">
      <c r="A54" s="35" t="s">
        <v>52</v>
      </c>
      <c r="B54" s="37" t="s">
        <v>53</v>
      </c>
      <c r="C54" s="37"/>
      <c r="D54" s="206" t="s">
        <v>54</v>
      </c>
      <c r="E54" s="206"/>
      <c r="F54" s="35" t="s">
        <v>55</v>
      </c>
      <c r="G54" s="35"/>
      <c r="H54" s="35"/>
      <c r="I54" s="35"/>
      <c r="J54" s="35"/>
      <c r="K54" s="266" t="s">
        <v>13</v>
      </c>
      <c r="L54" s="266"/>
    </row>
    <row r="55" spans="1:14" x14ac:dyDescent="0.2">
      <c r="A55" s="12">
        <v>1</v>
      </c>
      <c r="B55" s="9">
        <f>VLOOKUP(A17,'Bestellung Commande'!A27:O65,11,FALSE)</f>
        <v>0</v>
      </c>
      <c r="C55" s="9"/>
      <c r="D55" s="252">
        <f>IF(ISERROR(VLOOKUP($B55,DATEN!$A$3:$D$10,2,FALSE)),"",VLOOKUP($B55,DATEN!$A$3:$D$10,2,FALSE))</f>
        <v>0</v>
      </c>
      <c r="E55" s="252"/>
      <c r="F55" s="12">
        <f>IF(ISERROR(VLOOKUP($B55,DATEN!$A$3:$D$10,3,FALSE)),"",VLOOKUP($B55,DATEN!$A$3:$D$10,3,FALSE))</f>
        <v>0</v>
      </c>
      <c r="G55"/>
      <c r="H55"/>
      <c r="K55" s="265">
        <f>$F$22</f>
        <v>0</v>
      </c>
      <c r="L55" s="265"/>
    </row>
    <row r="56" spans="1:14" x14ac:dyDescent="0.2">
      <c r="A56" s="12">
        <v>2</v>
      </c>
      <c r="B56" s="9">
        <f>VLOOKUP(A17,'Bestellung Commande'!A27:O65,12,FALSE)</f>
        <v>0</v>
      </c>
      <c r="C56" s="9"/>
      <c r="D56" s="252">
        <f>IF(ISERROR(VLOOKUP($B56,DATEN!$A$3:$D$10,2,FALSE)),"",VLOOKUP($B56,DATEN!$A$3:$D$10,2,FALSE))</f>
        <v>0</v>
      </c>
      <c r="E56" s="252"/>
      <c r="F56" s="9">
        <f>IF(ISERROR(VLOOKUP($B56,DATEN!$A$3:$D$10,3,FALSE)),"",VLOOKUP($B56,DATEN!$A$3:$D$10,3,FALSE))</f>
        <v>0</v>
      </c>
      <c r="G56"/>
      <c r="H56"/>
      <c r="K56" s="265">
        <f t="shared" ref="K56:K58" si="8">$F$22</f>
        <v>0</v>
      </c>
      <c r="L56" s="265"/>
    </row>
    <row r="57" spans="1:14" x14ac:dyDescent="0.2">
      <c r="A57" s="12">
        <v>3</v>
      </c>
      <c r="B57" s="9">
        <f>VLOOKUP(A17,'Bestellung Commande'!A27:O65,13,FALSE)</f>
        <v>0</v>
      </c>
      <c r="C57" s="9"/>
      <c r="D57" s="252">
        <f>IF(ISERROR(VLOOKUP($B57,DATEN!$A$3:$D$10,2,FALSE)),"",VLOOKUP($B57,DATEN!$A$3:$D$10,2,FALSE))</f>
        <v>0</v>
      </c>
      <c r="E57" s="252"/>
      <c r="F57" s="9">
        <f>IF(ISERROR(VLOOKUP($B57,DATEN!$A$3:$D$10,3,FALSE)),"",VLOOKUP($B57,DATEN!$A$3:$D$10,3,FALSE))</f>
        <v>0</v>
      </c>
      <c r="K57" s="265">
        <f t="shared" si="8"/>
        <v>0</v>
      </c>
      <c r="L57" s="265"/>
    </row>
    <row r="58" spans="1:14" x14ac:dyDescent="0.2">
      <c r="A58" s="12">
        <v>4</v>
      </c>
      <c r="B58" s="9">
        <f>VLOOKUP(A17,'Bestellung Commande'!A27:O65,14,FALSE)</f>
        <v>0</v>
      </c>
      <c r="C58" s="9"/>
      <c r="D58" s="252">
        <f>IF(ISERROR(VLOOKUP($B58,DATEN!$A$3:$D$10,2,FALSE)),"",VLOOKUP($B58,DATEN!$A$3:$D$10,2,FALSE))</f>
        <v>0</v>
      </c>
      <c r="E58" s="252"/>
      <c r="F58" s="9">
        <f>IF(ISERROR(VLOOKUP($B58,DATEN!$A$3:$D$10,3,FALSE)),"",VLOOKUP($B58,DATEN!$A$3:$D$10,3,FALSE))</f>
        <v>0</v>
      </c>
      <c r="K58" s="265">
        <f t="shared" si="8"/>
        <v>0</v>
      </c>
      <c r="L58" s="265"/>
      <c r="N58" s="46">
        <f>'Bestellung Commande'!B44</f>
        <v>0</v>
      </c>
    </row>
  </sheetData>
  <sheetProtection algorithmName="SHA-512" hashValue="oKt6aivh9Nmtb0/FzX5mPDkTYk7R/4AUzdXubrZj6voF7CeHxfqPyBaCe33D9xcgEkxfIZdCNSdIW/SbSX1Lzw==" saltValue="6/EZciY4HASniSfiWxhJbg==" spinCount="100000" sheet="1" objects="1" scenarios="1"/>
  <mergeCells count="52">
    <mergeCell ref="D57:E57"/>
    <mergeCell ref="K57:L57"/>
    <mergeCell ref="D58:E58"/>
    <mergeCell ref="K58:L58"/>
    <mergeCell ref="A53:L53"/>
    <mergeCell ref="D54:E54"/>
    <mergeCell ref="K54:L54"/>
    <mergeCell ref="D55:E55"/>
    <mergeCell ref="K55:L55"/>
    <mergeCell ref="D56:E56"/>
    <mergeCell ref="K56:L56"/>
    <mergeCell ref="A40:L40"/>
    <mergeCell ref="A13:B13"/>
    <mergeCell ref="D13:F13"/>
    <mergeCell ref="A14:B14"/>
    <mergeCell ref="D14:F14"/>
    <mergeCell ref="B16:C16"/>
    <mergeCell ref="I16:L16"/>
    <mergeCell ref="B17:C17"/>
    <mergeCell ref="A20:N20"/>
    <mergeCell ref="A24:N24"/>
    <mergeCell ref="A29:N29"/>
    <mergeCell ref="A34:N34"/>
    <mergeCell ref="A10:B10"/>
    <mergeCell ref="D10:F10"/>
    <mergeCell ref="G10:N11"/>
    <mergeCell ref="A11:F11"/>
    <mergeCell ref="A12:B12"/>
    <mergeCell ref="D12:F12"/>
    <mergeCell ref="A6:B6"/>
    <mergeCell ref="D6:F6"/>
    <mergeCell ref="G6:N6"/>
    <mergeCell ref="A7:F7"/>
    <mergeCell ref="G7:N9"/>
    <mergeCell ref="A8:B8"/>
    <mergeCell ref="D8:F8"/>
    <mergeCell ref="A9:B9"/>
    <mergeCell ref="D9:F9"/>
    <mergeCell ref="D4:F4"/>
    <mergeCell ref="G4:J4"/>
    <mergeCell ref="K4:N4"/>
    <mergeCell ref="A5:B5"/>
    <mergeCell ref="D5:F5"/>
    <mergeCell ref="G5:J5"/>
    <mergeCell ref="K5:N5"/>
    <mergeCell ref="A1:N1"/>
    <mergeCell ref="A2:F2"/>
    <mergeCell ref="G2:N2"/>
    <mergeCell ref="A3:B3"/>
    <mergeCell ref="D3:F3"/>
    <mergeCell ref="G3:J3"/>
    <mergeCell ref="K3:N3"/>
  </mergeCells>
  <printOptions horizontalCentered="1"/>
  <pageMargins left="0.27" right="0.31" top="0.74803149606299213" bottom="0.74803149606299213" header="0.31496062992125984" footer="0.31496062992125984"/>
  <pageSetup paperSize="9" scale="87" orientation="portrait" r:id="rId1"/>
  <headerFooter>
    <oddHeader>&amp;R&amp;G</oddHeader>
    <oddFooter>&amp;LDuckdatum: &amp;D
&amp;F&amp;R&amp;P/&amp;N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574425-588A-4913-9864-DA392F7C3691}">
          <x14:formula1>
            <xm:f>DATEN!$I$1:$J$1</xm:f>
          </x14:formula1>
          <xm:sqref>K3:N3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770EB-DB11-4C73-A138-941BA1EAF9B1}">
  <sheetPr codeName="Tabelle13"/>
  <dimension ref="A1:X58"/>
  <sheetViews>
    <sheetView view="pageBreakPreview" topLeftCell="A3" zoomScaleNormal="120" zoomScaleSheetLayoutView="100" workbookViewId="0">
      <selection activeCell="A12" sqref="A12:B12"/>
    </sheetView>
  </sheetViews>
  <sheetFormatPr baseColWidth="10" defaultColWidth="11" defaultRowHeight="14.25" x14ac:dyDescent="0.2"/>
  <cols>
    <col min="1" max="3" width="8.875" customWidth="1"/>
    <col min="4" max="5" width="6.5" customWidth="1"/>
    <col min="6" max="6" width="10.625" customWidth="1"/>
    <col min="7" max="7" width="8.75" style="9" customWidth="1"/>
    <col min="8" max="8" width="8.875" style="9" customWidth="1"/>
    <col min="9" max="9" width="4.875" style="9" customWidth="1"/>
    <col min="10" max="10" width="8.75" customWidth="1"/>
    <col min="11" max="11" width="4.5" style="9" customWidth="1"/>
    <col min="12" max="13" width="4.5" customWidth="1"/>
    <col min="14" max="14" width="4.5" style="9" customWidth="1"/>
  </cols>
  <sheetData>
    <row r="1" spans="1:18" ht="23.25" x14ac:dyDescent="0.2">
      <c r="A1" s="238" t="s">
        <v>9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1:18" ht="15" x14ac:dyDescent="0.25">
      <c r="A2" s="253" t="s">
        <v>0</v>
      </c>
      <c r="B2" s="254"/>
      <c r="C2" s="254"/>
      <c r="D2" s="254"/>
      <c r="E2" s="254"/>
      <c r="F2" s="255"/>
      <c r="G2" s="161" t="s">
        <v>1</v>
      </c>
      <c r="H2" s="162"/>
      <c r="I2" s="162"/>
      <c r="J2" s="162"/>
      <c r="K2" s="162"/>
      <c r="L2" s="162"/>
      <c r="M2" s="162"/>
      <c r="N2" s="162"/>
    </row>
    <row r="3" spans="1:18" ht="15" x14ac:dyDescent="0.25">
      <c r="A3" s="165" t="str">
        <f>VLOOKUP(DATEN!I2,DATEN!$I$1:$J$39,IF($K$3="Deutsch", 1, 2),FALSE)</f>
        <v>Kunde Name:</v>
      </c>
      <c r="B3" s="167"/>
      <c r="C3" s="11"/>
      <c r="D3" s="212">
        <f>'Bestellung Commande'!C2</f>
        <v>0</v>
      </c>
      <c r="E3" s="212"/>
      <c r="F3" s="212"/>
      <c r="G3" s="256" t="s">
        <v>2</v>
      </c>
      <c r="H3" s="257"/>
      <c r="I3" s="257"/>
      <c r="J3" s="258"/>
      <c r="K3" s="259" t="s">
        <v>3</v>
      </c>
      <c r="L3" s="260"/>
      <c r="M3" s="260"/>
      <c r="N3" s="261"/>
    </row>
    <row r="4" spans="1:18" ht="15" x14ac:dyDescent="0.25">
      <c r="A4" s="10" t="str">
        <f>VLOOKUP(DATEN!I3,DATEN!$I$1:$J$39,IF($K$3="Deutsch", 1, 2),FALSE)</f>
        <v>Kontaktperson:</v>
      </c>
      <c r="B4" s="11"/>
      <c r="C4" s="11"/>
      <c r="D4" s="212">
        <f>'Bestellung Commande'!C3</f>
        <v>0</v>
      </c>
      <c r="E4" s="212"/>
      <c r="F4" s="212"/>
      <c r="G4" s="256" t="str">
        <f>VLOOKUP(DATEN!I9,DATEN!$I$1:$J$39,IF($K$3="Deutsch", 1, 2),FALSE)</f>
        <v>Bestelldatum:</v>
      </c>
      <c r="H4" s="257"/>
      <c r="I4" s="257"/>
      <c r="J4" s="258"/>
      <c r="K4" s="263">
        <f>'Bestellung Commande'!L3</f>
        <v>0</v>
      </c>
      <c r="L4" s="260"/>
      <c r="M4" s="260"/>
      <c r="N4" s="261"/>
    </row>
    <row r="5" spans="1:18" ht="15" x14ac:dyDescent="0.25">
      <c r="A5" s="165" t="str">
        <f>VLOOKUP(DATEN!I4,DATEN!$I$1:$J$39,IF($K$3="Deutsch", 1, 2),FALSE)</f>
        <v>Kommision:</v>
      </c>
      <c r="B5" s="167"/>
      <c r="C5" s="11"/>
      <c r="D5" s="212">
        <f>'Bestellung Commande'!C4</f>
        <v>0</v>
      </c>
      <c r="E5" s="212"/>
      <c r="F5" s="212"/>
      <c r="G5" s="256" t="str">
        <f>VLOOKUP(DATEN!I10,DATEN!$I$1:$J$39,IF($K$3="Deutsch", 1, 2),FALSE)</f>
        <v>Wunsch Liefertermin:</v>
      </c>
      <c r="H5" s="257"/>
      <c r="I5" s="257"/>
      <c r="J5" s="258"/>
      <c r="K5" s="263">
        <f>'Bestellung Commande'!L4</f>
        <v>0</v>
      </c>
      <c r="L5" s="260"/>
      <c r="M5" s="260"/>
      <c r="N5" s="261"/>
    </row>
    <row r="6" spans="1:18" ht="15" x14ac:dyDescent="0.25">
      <c r="A6" s="165" t="str">
        <f>VLOOKUP(DATEN!I5,DATEN!$I$1:$J$39,IF($K$3="Deutsch", 1, 2),FALSE)</f>
        <v>Kontakt Telefon:</v>
      </c>
      <c r="B6" s="167"/>
      <c r="C6" s="11"/>
      <c r="D6" s="212">
        <f>'Bestellung Commande'!C5</f>
        <v>0</v>
      </c>
      <c r="E6" s="212"/>
      <c r="F6" s="212"/>
      <c r="G6" s="163" t="str">
        <f>VLOOKUP(DATEN!I11,DATEN!$I$1:$J$39,IF($K$3="Deutsch", 1, 2),FALSE)</f>
        <v>Bemerkung:</v>
      </c>
      <c r="H6" s="164"/>
      <c r="I6" s="164"/>
      <c r="J6" s="164"/>
      <c r="K6" s="164"/>
      <c r="L6" s="164"/>
      <c r="M6" s="164"/>
      <c r="N6" s="164"/>
    </row>
    <row r="7" spans="1:18" ht="15" x14ac:dyDescent="0.25">
      <c r="A7" s="264" t="s">
        <v>4</v>
      </c>
      <c r="B7" s="264"/>
      <c r="C7" s="264"/>
      <c r="D7" s="264"/>
      <c r="E7" s="264"/>
      <c r="F7" s="264"/>
      <c r="G7" s="225" t="str">
        <f>VLOOKUP(DATEN!I11,DATEN!$I$1:$J$39,IF($K$3="Deutsch", 1, 2),FALSE)</f>
        <v>Bemerkung:</v>
      </c>
      <c r="H7" s="225"/>
      <c r="I7" s="225"/>
      <c r="J7" s="225"/>
      <c r="K7" s="225"/>
      <c r="L7" s="225"/>
      <c r="M7" s="225"/>
      <c r="N7" s="225"/>
    </row>
    <row r="8" spans="1:18" ht="15" x14ac:dyDescent="0.25">
      <c r="A8" s="165" t="str">
        <f>VLOOKUP(DATEN!I6,DATEN!$I$1:$J$39,IF($K$3="Deutsch", 1, 2),FALSE)</f>
        <v>Strasse:</v>
      </c>
      <c r="B8" s="167"/>
      <c r="C8" s="11"/>
      <c r="D8" s="212">
        <f>'Bestellung Commande'!C8</f>
        <v>0</v>
      </c>
      <c r="E8" s="212"/>
      <c r="F8" s="212"/>
      <c r="G8" s="225"/>
      <c r="H8" s="225"/>
      <c r="I8" s="225"/>
      <c r="J8" s="225"/>
      <c r="K8" s="225"/>
      <c r="L8" s="225"/>
      <c r="M8" s="225"/>
      <c r="N8" s="225"/>
    </row>
    <row r="9" spans="1:18" ht="15" x14ac:dyDescent="0.25">
      <c r="A9" s="165" t="str">
        <f>VLOOKUP(DATEN!I7,DATEN!$I$1:$J$39,IF($K$3="Deutsch", 1, 2),FALSE)</f>
        <v>PLZ Ort:</v>
      </c>
      <c r="B9" s="167"/>
      <c r="C9" s="11"/>
      <c r="D9" s="212">
        <f>'Bestellung Commande'!C9</f>
        <v>0</v>
      </c>
      <c r="E9" s="212"/>
      <c r="F9" s="212"/>
      <c r="G9" s="225"/>
      <c r="H9" s="225"/>
      <c r="I9" s="225"/>
      <c r="J9" s="225"/>
      <c r="K9" s="225"/>
      <c r="L9" s="225"/>
      <c r="M9" s="225"/>
      <c r="N9" s="225"/>
    </row>
    <row r="10" spans="1:18" ht="15" customHeight="1" x14ac:dyDescent="0.25">
      <c r="A10" s="165" t="str">
        <f>VLOOKUP(DATEN!I8,DATEN!$I$1:$J$39,IF($K$3="Deutsch", 1, 2),FALSE)</f>
        <v>Kontakt:</v>
      </c>
      <c r="B10" s="167"/>
      <c r="C10" s="11"/>
      <c r="D10" s="212">
        <f>'Bestellung Commande'!C10</f>
        <v>0</v>
      </c>
      <c r="E10" s="212"/>
      <c r="F10" s="212"/>
      <c r="G10" s="262" t="str">
        <f>IF(VLOOKUP($A$17,'Bestellung Commande'!$A$27:$O$65,10,FALSE)&lt;&gt;"","Sonderbau!!!","")</f>
        <v/>
      </c>
      <c r="H10" s="262"/>
      <c r="I10" s="262"/>
      <c r="J10" s="262"/>
      <c r="K10" s="262"/>
      <c r="L10" s="262"/>
      <c r="M10" s="262"/>
      <c r="N10" s="262"/>
    </row>
    <row r="11" spans="1:18" ht="15" customHeight="1" x14ac:dyDescent="0.25">
      <c r="A11" s="264" t="s">
        <v>5</v>
      </c>
      <c r="B11" s="264"/>
      <c r="C11" s="264"/>
      <c r="D11" s="264"/>
      <c r="E11" s="264"/>
      <c r="F11" s="264"/>
      <c r="G11" s="262"/>
      <c r="H11" s="262"/>
      <c r="I11" s="262"/>
      <c r="J11" s="262"/>
      <c r="K11" s="262"/>
      <c r="L11" s="262"/>
      <c r="M11" s="262"/>
      <c r="N11" s="262"/>
    </row>
    <row r="12" spans="1:18" ht="15" customHeight="1" x14ac:dyDescent="0.4">
      <c r="A12" s="165" t="str">
        <f>VLOOKUP(DATEN!I6,DATEN!$I$1:$J$39,IF($K$3="Deutsch", 1, 2),FALSE)</f>
        <v>Strasse:</v>
      </c>
      <c r="B12" s="167"/>
      <c r="C12" s="11"/>
      <c r="D12" s="212">
        <f>'Bestellung Commande'!C12</f>
        <v>0</v>
      </c>
      <c r="E12" s="212"/>
      <c r="F12" s="212"/>
      <c r="G12" s="146"/>
      <c r="H12" s="146"/>
      <c r="I12" s="146"/>
      <c r="J12" s="146"/>
      <c r="K12" s="146"/>
      <c r="L12" s="146"/>
      <c r="M12" s="146"/>
      <c r="N12" s="146"/>
    </row>
    <row r="13" spans="1:18" ht="15" customHeight="1" x14ac:dyDescent="0.4">
      <c r="A13" s="165" t="str">
        <f>VLOOKUP(DATEN!I7,DATEN!$I$1:$J$39,IF($K$3="Deutsch", 1, 2),FALSE)</f>
        <v>PLZ Ort:</v>
      </c>
      <c r="B13" s="167"/>
      <c r="C13" s="11"/>
      <c r="D13" s="212">
        <f>'Bestellung Commande'!C13</f>
        <v>0</v>
      </c>
      <c r="E13" s="212"/>
      <c r="F13" s="212"/>
      <c r="G13" s="146"/>
      <c r="H13" s="146"/>
      <c r="I13" s="146"/>
      <c r="J13" s="146"/>
      <c r="K13" s="146"/>
      <c r="L13" s="146"/>
      <c r="M13" s="146"/>
      <c r="N13" s="146"/>
    </row>
    <row r="14" spans="1:18" ht="15" customHeight="1" x14ac:dyDescent="0.4">
      <c r="A14" s="165" t="str">
        <f>VLOOKUP(DATEN!I8,DATEN!$I$1:$J$39,IF($K$3="Deutsch", 1, 2),FALSE)</f>
        <v>Kontakt:</v>
      </c>
      <c r="B14" s="167"/>
      <c r="C14" s="11"/>
      <c r="D14" s="212">
        <f>'Bestellung Commande'!C14</f>
        <v>0</v>
      </c>
      <c r="E14" s="212"/>
      <c r="F14" s="212"/>
      <c r="G14" s="146"/>
      <c r="H14" s="146"/>
      <c r="I14" s="146"/>
      <c r="J14" s="146"/>
      <c r="K14" s="146"/>
      <c r="L14" s="146"/>
      <c r="M14" s="146"/>
      <c r="N14" s="146"/>
    </row>
    <row r="15" spans="1:18" ht="15.75" thickBot="1" x14ac:dyDescent="0.3">
      <c r="A15" s="140" t="str">
        <f>'Bestellung Commande'!A67</f>
        <v>V9.5</v>
      </c>
      <c r="B15" s="14"/>
      <c r="C15" s="14"/>
      <c r="D15" s="15"/>
      <c r="E15" s="15"/>
      <c r="F15" s="15"/>
      <c r="G15" s="13"/>
      <c r="H15" s="13"/>
      <c r="I15" s="13"/>
      <c r="J15" s="13"/>
      <c r="K15" s="13"/>
      <c r="L15" s="13"/>
      <c r="M15" s="16">
        <f>'Bestellung Commande'!N24</f>
        <v>73</v>
      </c>
      <c r="N15" s="13"/>
      <c r="O15" s="20" t="s">
        <v>220</v>
      </c>
      <c r="P15" s="9"/>
      <c r="Q15" s="9"/>
      <c r="R15" s="9"/>
    </row>
    <row r="16" spans="1:18" s="19" customFormat="1" ht="28.5" customHeight="1" x14ac:dyDescent="0.2">
      <c r="A16" s="17" t="s">
        <v>216</v>
      </c>
      <c r="B16" s="176" t="str">
        <f>VLOOKUP(DATEN!I14,DATEN!$I$1:$J$39,IF($K$3="Deutsch", 1, 2),FALSE)</f>
        <v>Anz.
Flügel</v>
      </c>
      <c r="C16" s="176"/>
      <c r="D16" s="17" t="str">
        <f>VLOOKUP(DATEN!I15,DATEN!$I$1:$J$39,IF($K$3="Deutsch", 1, 2),FALSE)</f>
        <v>Stk Schw.</v>
      </c>
      <c r="E16" s="17" t="str">
        <f>VLOOKUP(DATEN!I16,DATEN!$I$1:$J$39,IF($K$3="Deutsch", 1, 2),FALSE)</f>
        <v>RA</v>
      </c>
      <c r="F16" s="17" t="str">
        <f>VLOOKUP(DATEN!I17,DATEN!$I$1:$J$39,IF($K$3="Deutsch", 1, 2),FALSE)</f>
        <v>RBL 
(min45)</v>
      </c>
      <c r="G16" s="17" t="str">
        <f>VLOOKUP(DATEN!I18,DATEN!$I$1:$J$39,IF($K$3="Deutsch", 1, 2),FALSE)</f>
        <v>RBR 
(min45)</v>
      </c>
      <c r="H16" s="17"/>
      <c r="I16" s="184" t="str">
        <f>VLOOKUP(DATEN!I19,DATEN!$I$1:$J$39,IF($K$3="Deutsch", 1, 2),FALSE)</f>
        <v>Verbreiterungen</v>
      </c>
      <c r="J16" s="185"/>
      <c r="K16" s="185"/>
      <c r="L16" s="185"/>
      <c r="M16" s="18" t="str">
        <f>VLOOKUP(DATEN!I20,DATEN!$I$1:$J$39,IF($K$3="Deutsch",1,2),FALSE)</f>
        <v>Total</v>
      </c>
      <c r="N16" s="17"/>
      <c r="O16" s="20" t="str">
        <f>E25</f>
        <v>Profil</v>
      </c>
      <c r="P16" s="20" t="str">
        <f>A26</f>
        <v>Links</v>
      </c>
      <c r="Q16" s="20" t="str">
        <f>A27</f>
        <v>Rechts</v>
      </c>
      <c r="R16" s="20" t="str">
        <f>A28</f>
        <v>Mittelteil</v>
      </c>
    </row>
    <row r="17" spans="1:24" ht="15" thickBot="1" x14ac:dyDescent="0.25">
      <c r="A17" s="41">
        <v>10</v>
      </c>
      <c r="B17" s="268">
        <f>VLOOKUP($A$17,'Bestellung Commande'!$A$27:$O$65,3,FALSE)</f>
        <v>0</v>
      </c>
      <c r="C17" s="268"/>
      <c r="D17" s="41">
        <f>VLOOKUP($A$17,'Bestellung Commande'!$A$27:$O$65,5,FALSE)</f>
        <v>0</v>
      </c>
      <c r="E17" s="41">
        <f>VLOOKUP($A$17,'Bestellung Commande'!$A$27:$O$65,6,FALSE)</f>
        <v>0</v>
      </c>
      <c r="F17" s="41">
        <f>VLOOKUP($A$17,'Bestellung Commande'!$A$27:$O$65,7,FALSE)</f>
        <v>0</v>
      </c>
      <c r="G17" s="41">
        <f>VLOOKUP($A$17,'Bestellung Commande'!$A$27:$O$65,8,FALSE)</f>
        <v>0</v>
      </c>
      <c r="H17" s="41">
        <f>VLOOKUP($A$17,'Bestellung Commande'!$A$27:$O$65,9,FALSE)</f>
        <v>0</v>
      </c>
      <c r="I17" s="22">
        <f>VLOOKUP($A$17,'Bestellung Commande'!$A$27:$O$65,10,FALSE)</f>
        <v>0</v>
      </c>
      <c r="J17" s="23">
        <f>VLOOKUP($A$17,'Bestellung Commande'!$A$27:$O$65,11,FALSE)</f>
        <v>0</v>
      </c>
      <c r="K17" s="23">
        <f>VLOOKUP($A$17,'Bestellung Commande'!$A$27:$O$65,12,FALSE)</f>
        <v>0</v>
      </c>
      <c r="L17" s="23">
        <f>VLOOKUP($A$17,'Bestellung Commande'!$A$27:$O$65,13,FALSE)</f>
        <v>0</v>
      </c>
      <c r="M17" s="125">
        <f>VLOOKUP($A$17,'Bestellung Commande'!$A$27:$O$65,14,FALSE)</f>
        <v>0</v>
      </c>
      <c r="N17" s="24"/>
      <c r="O17" s="9" t="str">
        <f>F25</f>
        <v>C298927</v>
      </c>
      <c r="P17" s="29">
        <f>F26</f>
        <v>20</v>
      </c>
      <c r="Q17" s="29">
        <f>F27</f>
        <v>20</v>
      </c>
      <c r="R17" s="29">
        <f>F28</f>
        <v>-42</v>
      </c>
    </row>
    <row r="18" spans="1:24" x14ac:dyDescent="0.2">
      <c r="B18" s="41" cm="1">
        <f t="array" ref="B18">INDEX('Bestellung Commande'!$C$27:$C$66, MATCH($A$17, 'Bestellung Commande'!$A$27:$A$66, 0) + 1)</f>
        <v>0</v>
      </c>
      <c r="C18" s="41" cm="1">
        <f t="array" ref="C18">INDEX('Bestellung Commande'!$D$27:$D$66, MATCH($A$17, 'Bestellung Commande'!$A$27:$A$66, 0) + 1)</f>
        <v>0</v>
      </c>
    </row>
    <row r="20" spans="1:24" ht="15" x14ac:dyDescent="0.25">
      <c r="A20" s="267" t="s">
        <v>10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</row>
    <row r="21" spans="1:24" ht="15" x14ac:dyDescent="0.25">
      <c r="E21" s="25" t="s">
        <v>11</v>
      </c>
      <c r="F21" s="9" t="s">
        <v>12</v>
      </c>
      <c r="G21"/>
      <c r="H21"/>
      <c r="I21"/>
    </row>
    <row r="22" spans="1:24" x14ac:dyDescent="0.2">
      <c r="E22" t="s">
        <v>13</v>
      </c>
      <c r="F22" s="26">
        <f>E17</f>
        <v>0</v>
      </c>
      <c r="G22"/>
      <c r="H22"/>
      <c r="I22"/>
    </row>
    <row r="23" spans="1:24" x14ac:dyDescent="0.2">
      <c r="F23" s="9">
        <f>B17</f>
        <v>0</v>
      </c>
      <c r="G23"/>
      <c r="H23"/>
      <c r="I23"/>
    </row>
    <row r="24" spans="1:24" ht="15" x14ac:dyDescent="0.25">
      <c r="A24" s="267" t="s">
        <v>14</v>
      </c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</row>
    <row r="25" spans="1:24" ht="15" x14ac:dyDescent="0.25">
      <c r="E25" s="25" t="s">
        <v>11</v>
      </c>
      <c r="F25" s="9" t="s">
        <v>15</v>
      </c>
      <c r="G25"/>
      <c r="H25"/>
      <c r="I25"/>
    </row>
    <row r="26" spans="1:24" x14ac:dyDescent="0.2">
      <c r="A26" t="s">
        <v>16</v>
      </c>
      <c r="E26" t="s">
        <v>13</v>
      </c>
      <c r="F26" s="26">
        <f>F17+20</f>
        <v>20</v>
      </c>
      <c r="G26"/>
      <c r="H26"/>
      <c r="I26"/>
      <c r="W26" s="121" t="s">
        <v>208</v>
      </c>
      <c r="X26" s="122">
        <f>F37-F36</f>
        <v>-100</v>
      </c>
    </row>
    <row r="27" spans="1:24" x14ac:dyDescent="0.2">
      <c r="A27" t="s">
        <v>17</v>
      </c>
      <c r="E27" t="s">
        <v>13</v>
      </c>
      <c r="F27" s="26">
        <f>G17+20</f>
        <v>20</v>
      </c>
      <c r="G27"/>
      <c r="H27"/>
      <c r="I27"/>
      <c r="W27" t="s">
        <v>209</v>
      </c>
      <c r="X27">
        <f>[1]DATEN!D14</f>
        <v>300</v>
      </c>
    </row>
    <row r="28" spans="1:24" x14ac:dyDescent="0.2">
      <c r="A28" t="s">
        <v>18</v>
      </c>
      <c r="E28" t="s">
        <v>13</v>
      </c>
      <c r="F28" s="26">
        <f>(E17-(F26+F27))-2</f>
        <v>-42</v>
      </c>
      <c r="G28"/>
      <c r="H28"/>
      <c r="I28"/>
      <c r="P28" t="s">
        <v>293</v>
      </c>
      <c r="T28" t="s">
        <v>294</v>
      </c>
      <c r="W28" t="s">
        <v>210</v>
      </c>
      <c r="X28">
        <f>ROUNDUP(X26/X27,0)</f>
        <v>-1</v>
      </c>
    </row>
    <row r="29" spans="1:24" ht="15" x14ac:dyDescent="0.25">
      <c r="A29" s="267" t="s">
        <v>19</v>
      </c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7" t="str">
        <f t="shared" ref="O29:O39" si="0">IF(AND($F$32&gt;=Q29,$F$32&lt;R29),P29,"")</f>
        <v/>
      </c>
      <c r="P29" s="28" t="str">
        <f>" "</f>
        <v xml:space="preserve"> </v>
      </c>
      <c r="Q29" s="28">
        <v>-1000000</v>
      </c>
      <c r="R29" s="28">
        <v>0</v>
      </c>
      <c r="S29" s="27" t="str">
        <f t="shared" ref="S29:S39" si="1">IF(AND($G$32&gt;=U29,$G$32&lt;V29),T29,"")</f>
        <v/>
      </c>
      <c r="T29" s="28" t="str">
        <f t="shared" ref="T29:T30" si="2">P29</f>
        <v xml:space="preserve"> </v>
      </c>
      <c r="U29" s="28">
        <f t="shared" ref="U29:U30" si="3">Q29</f>
        <v>-1000000</v>
      </c>
      <c r="V29" s="28">
        <f t="shared" ref="V29:V30" si="4">R29</f>
        <v>0</v>
      </c>
      <c r="W29" t="s">
        <v>211</v>
      </c>
      <c r="X29">
        <f>X26/X28</f>
        <v>100</v>
      </c>
    </row>
    <row r="30" spans="1:24" ht="15" x14ac:dyDescent="0.25">
      <c r="F30" s="25" t="s">
        <v>293</v>
      </c>
      <c r="G30" s="25" t="s">
        <v>294</v>
      </c>
      <c r="H30"/>
      <c r="I30"/>
      <c r="K30"/>
      <c r="N30"/>
      <c r="O30" s="27" t="str">
        <f t="shared" si="0"/>
        <v/>
      </c>
      <c r="P30" s="28"/>
      <c r="Q30" s="28">
        <v>0.1</v>
      </c>
      <c r="R30" s="28">
        <v>247.9</v>
      </c>
      <c r="S30" s="27" t="str">
        <f t="shared" si="1"/>
        <v/>
      </c>
      <c r="T30" s="28">
        <f t="shared" si="2"/>
        <v>0</v>
      </c>
      <c r="U30" s="28">
        <f t="shared" si="3"/>
        <v>0.1</v>
      </c>
      <c r="V30" s="28">
        <f t="shared" si="4"/>
        <v>247.9</v>
      </c>
    </row>
    <row r="31" spans="1:24" x14ac:dyDescent="0.2">
      <c r="F31" s="9" t="str">
        <f>O29&amp;O31&amp;O32&amp;O33&amp;O34&amp;O35&amp;O36&amp;O37&amp;O38&amp;O39</f>
        <v/>
      </c>
      <c r="G31" s="9" t="str">
        <f>S29&amp;S31&amp;S32&amp;S33&amp;S34&amp;S35&amp;S36&amp;S37&amp;S38&amp;S39</f>
        <v/>
      </c>
      <c r="I31"/>
      <c r="O31" s="27" t="str">
        <f t="shared" si="0"/>
        <v/>
      </c>
      <c r="P31" s="28" t="str">
        <f>DATEN!M7</f>
        <v>C555366</v>
      </c>
      <c r="Q31" s="28">
        <f>DATEN!N7</f>
        <v>275</v>
      </c>
      <c r="R31" s="28">
        <f>DATEN!O7</f>
        <v>400</v>
      </c>
      <c r="S31" s="27" t="str">
        <f t="shared" si="1"/>
        <v/>
      </c>
      <c r="T31" s="28" t="str">
        <f>P31</f>
        <v>C555366</v>
      </c>
      <c r="U31" s="28">
        <f t="shared" ref="U31:V39" si="5">Q31</f>
        <v>275</v>
      </c>
      <c r="V31" s="28">
        <f t="shared" si="5"/>
        <v>400</v>
      </c>
      <c r="W31">
        <v>1</v>
      </c>
      <c r="X31" s="29">
        <f>F36</f>
        <v>50</v>
      </c>
    </row>
    <row r="32" spans="1:24" x14ac:dyDescent="0.2">
      <c r="A32" t="s">
        <v>13</v>
      </c>
      <c r="F32" s="26" t="b">
        <f>IF(AND(B17=1,B18=0),H17,IF(AND(B17=1,B18&gt;0),B18,IF(AND(B17=2,B18=0),(H17-20)/2,IF(AND(B17=2,B18&gt;0),B18))))</f>
        <v>0</v>
      </c>
      <c r="G32" s="26">
        <f>IF(B17=1,0,IF(AND(B17=2,C18=0),0,C18))</f>
        <v>0</v>
      </c>
      <c r="I32"/>
      <c r="O32" s="27" t="str">
        <f t="shared" si="0"/>
        <v/>
      </c>
      <c r="P32" s="28" t="str">
        <f>DATEN!M8</f>
        <v>C555367</v>
      </c>
      <c r="Q32" s="28">
        <f>DATEN!N8</f>
        <v>400</v>
      </c>
      <c r="R32" s="28">
        <f>DATEN!O8</f>
        <v>550</v>
      </c>
      <c r="S32" s="27" t="str">
        <f t="shared" si="1"/>
        <v/>
      </c>
      <c r="T32" s="28" t="str">
        <f t="shared" ref="T32:T39" si="6">P32</f>
        <v>C555367</v>
      </c>
      <c r="U32" s="28">
        <f t="shared" si="5"/>
        <v>400</v>
      </c>
      <c r="V32" s="28">
        <f t="shared" si="5"/>
        <v>550</v>
      </c>
      <c r="W32">
        <v>2</v>
      </c>
      <c r="X32" s="29">
        <f>ROUND(IF(W32-1&gt;$X$28,0,X31+$X$29),0)</f>
        <v>0</v>
      </c>
    </row>
    <row r="33" spans="1:24" x14ac:dyDescent="0.2">
      <c r="A33" t="s">
        <v>23</v>
      </c>
      <c r="F33" s="30">
        <f>IF(AND(B17=2,B18=0),B17,1)*D17</f>
        <v>0</v>
      </c>
      <c r="G33" s="30">
        <f>IF(G32&gt;0,1,0)*D17</f>
        <v>0</v>
      </c>
      <c r="I33"/>
      <c r="O33" s="27" t="str">
        <f t="shared" si="0"/>
        <v/>
      </c>
      <c r="P33" s="28" t="str">
        <f>DATEN!M9</f>
        <v>C555368</v>
      </c>
      <c r="Q33" s="28">
        <f>DATEN!N9</f>
        <v>550</v>
      </c>
      <c r="R33" s="28">
        <f>DATEN!O9</f>
        <v>700</v>
      </c>
      <c r="S33" s="27" t="str">
        <f t="shared" si="1"/>
        <v/>
      </c>
      <c r="T33" s="28" t="str">
        <f t="shared" si="6"/>
        <v>C555368</v>
      </c>
      <c r="U33" s="28">
        <f t="shared" si="5"/>
        <v>550</v>
      </c>
      <c r="V33" s="28">
        <f t="shared" si="5"/>
        <v>700</v>
      </c>
      <c r="W33">
        <v>3</v>
      </c>
      <c r="X33" s="29">
        <f t="shared" ref="X33:X40" si="7">ROUND(IF(W33-1&gt;$X$28,0,X32+$X$29),0)</f>
        <v>0</v>
      </c>
    </row>
    <row r="34" spans="1:24" ht="15" x14ac:dyDescent="0.25">
      <c r="A34" s="267" t="s">
        <v>25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7" t="str">
        <f>IF(AND($F$32&gt;=Q34,$F$32&lt;R34),P34,"")</f>
        <v/>
      </c>
      <c r="P34" s="28" t="str">
        <f>DATEN!M10</f>
        <v>C555369</v>
      </c>
      <c r="Q34" s="28">
        <f>DATEN!N10</f>
        <v>700</v>
      </c>
      <c r="R34" s="28">
        <f>DATEN!O10</f>
        <v>850</v>
      </c>
      <c r="S34" s="27" t="str">
        <f t="shared" si="1"/>
        <v/>
      </c>
      <c r="T34" s="28" t="str">
        <f t="shared" si="6"/>
        <v>C555369</v>
      </c>
      <c r="U34" s="28">
        <f t="shared" si="5"/>
        <v>700</v>
      </c>
      <c r="V34" s="28">
        <f t="shared" si="5"/>
        <v>850</v>
      </c>
      <c r="W34">
        <v>4</v>
      </c>
      <c r="X34" s="29">
        <f t="shared" si="7"/>
        <v>0</v>
      </c>
    </row>
    <row r="35" spans="1:24" ht="15" x14ac:dyDescent="0.25">
      <c r="A35" s="31" t="s">
        <v>27</v>
      </c>
      <c r="F35" s="9" t="s">
        <v>28</v>
      </c>
      <c r="G35" s="32" t="s">
        <v>29</v>
      </c>
      <c r="H35" s="32"/>
      <c r="I35"/>
      <c r="O35" s="27" t="str">
        <f t="shared" si="0"/>
        <v/>
      </c>
      <c r="P35" s="28" t="str">
        <f>DATEN!M11</f>
        <v>C555370</v>
      </c>
      <c r="Q35" s="28">
        <f>DATEN!N11</f>
        <v>850</v>
      </c>
      <c r="R35" s="28">
        <f>DATEN!O11</f>
        <v>1000</v>
      </c>
      <c r="S35" s="27" t="str">
        <f>IF(AND($G$32&gt;=U35,$G$32&lt;V35),T35,"")</f>
        <v/>
      </c>
      <c r="T35" s="28" t="str">
        <f t="shared" si="6"/>
        <v>C555370</v>
      </c>
      <c r="U35" s="28">
        <f t="shared" si="5"/>
        <v>850</v>
      </c>
      <c r="V35" s="28">
        <f t="shared" si="5"/>
        <v>1000</v>
      </c>
      <c r="W35">
        <v>5</v>
      </c>
      <c r="X35" s="29">
        <f t="shared" si="7"/>
        <v>0</v>
      </c>
    </row>
    <row r="36" spans="1:24" x14ac:dyDescent="0.2">
      <c r="A36" t="s">
        <v>31</v>
      </c>
      <c r="F36" s="26">
        <f>F17+50</f>
        <v>50</v>
      </c>
      <c r="G36"/>
      <c r="H36" t="s">
        <v>206</v>
      </c>
      <c r="I36"/>
      <c r="O36" s="27" t="str">
        <f t="shared" si="0"/>
        <v/>
      </c>
      <c r="P36" s="28" t="str">
        <f>DATEN!M12</f>
        <v>C555371</v>
      </c>
      <c r="Q36" s="28">
        <f>DATEN!N12</f>
        <v>1000</v>
      </c>
      <c r="R36" s="28">
        <f>DATEN!O12</f>
        <v>1150</v>
      </c>
      <c r="S36" s="27" t="str">
        <f t="shared" si="1"/>
        <v/>
      </c>
      <c r="T36" s="28" t="str">
        <f t="shared" si="6"/>
        <v>C555371</v>
      </c>
      <c r="U36" s="28">
        <f t="shared" si="5"/>
        <v>1000</v>
      </c>
      <c r="V36" s="28">
        <f t="shared" si="5"/>
        <v>1150</v>
      </c>
      <c r="W36">
        <v>6</v>
      </c>
      <c r="X36" s="29">
        <f t="shared" si="7"/>
        <v>0</v>
      </c>
    </row>
    <row r="37" spans="1:24" x14ac:dyDescent="0.2">
      <c r="A37" t="s">
        <v>33</v>
      </c>
      <c r="F37" s="26">
        <f>F17+H17-DATEN!$D$13</f>
        <v>-50</v>
      </c>
      <c r="H37" t="s">
        <v>36</v>
      </c>
      <c r="I37"/>
      <c r="J37" s="9">
        <f>X28+1</f>
        <v>0</v>
      </c>
      <c r="O37" s="27" t="str">
        <f t="shared" si="0"/>
        <v/>
      </c>
      <c r="P37" s="28" t="str">
        <f>DATEN!M13</f>
        <v>C555372</v>
      </c>
      <c r="Q37" s="28">
        <f>DATEN!N13</f>
        <v>1150</v>
      </c>
      <c r="R37" s="28">
        <f>DATEN!O13</f>
        <v>1300</v>
      </c>
      <c r="S37" s="27" t="str">
        <f t="shared" si="1"/>
        <v/>
      </c>
      <c r="T37" s="28" t="str">
        <f t="shared" si="6"/>
        <v>C555372</v>
      </c>
      <c r="U37" s="28">
        <f t="shared" si="5"/>
        <v>1150</v>
      </c>
      <c r="V37" s="28">
        <f t="shared" si="5"/>
        <v>1300</v>
      </c>
      <c r="W37">
        <v>7</v>
      </c>
      <c r="X37" s="29">
        <f t="shared" si="7"/>
        <v>0</v>
      </c>
    </row>
    <row r="38" spans="1:24" x14ac:dyDescent="0.2">
      <c r="A38" s="33" t="s">
        <v>35</v>
      </c>
      <c r="F38" s="123" t="str">
        <f>X31&amp;IF(X32="",""," / ")&amp;X32  &amp; IF(X33="",""," / ")&amp;X33&amp; IF(X34="",""," / ")&amp;X34&amp; IF(X35="",""," / ")&amp;X35&amp; IF(X36="",""," / ")&amp;X36&amp; IF(X37="",""," / ")&amp;X37&amp; IF(X38="",""," / ")&amp;X38&amp; IF(X39="",""," / ")&amp;X39&amp; IF(X40="",""," / ")&amp;X40</f>
        <v>50 / 0 / 0 / 0 / 0 / 0 / 0 / 0 / 0 / 0</v>
      </c>
      <c r="O38" s="27" t="str">
        <f t="shared" si="0"/>
        <v/>
      </c>
      <c r="P38" s="28" t="str">
        <f>DATEN!M14</f>
        <v>C555373</v>
      </c>
      <c r="Q38" s="28">
        <f>DATEN!N14</f>
        <v>1300</v>
      </c>
      <c r="R38" s="28">
        <f>DATEN!O14</f>
        <v>1450</v>
      </c>
      <c r="S38" s="27" t="str">
        <f t="shared" si="1"/>
        <v/>
      </c>
      <c r="T38" s="28" t="str">
        <f t="shared" si="6"/>
        <v>C555373</v>
      </c>
      <c r="U38" s="28">
        <f t="shared" si="5"/>
        <v>1300</v>
      </c>
      <c r="V38" s="28">
        <f t="shared" si="5"/>
        <v>1450</v>
      </c>
      <c r="W38">
        <v>8</v>
      </c>
      <c r="X38" s="29">
        <f t="shared" si="7"/>
        <v>0</v>
      </c>
    </row>
    <row r="39" spans="1:24" x14ac:dyDescent="0.2">
      <c r="F39" s="9"/>
      <c r="G39"/>
      <c r="H39"/>
      <c r="I39"/>
      <c r="O39" s="27" t="str">
        <f t="shared" si="0"/>
        <v/>
      </c>
      <c r="P39" s="28" t="str">
        <f>DATEN!M15</f>
        <v>Zu Lang</v>
      </c>
      <c r="Q39" s="28">
        <f>DATEN!N15</f>
        <v>1450.1</v>
      </c>
      <c r="R39" s="28">
        <f>DATEN!O15</f>
        <v>1000000</v>
      </c>
      <c r="S39" s="27" t="str">
        <f t="shared" si="1"/>
        <v/>
      </c>
      <c r="T39" s="28" t="str">
        <f t="shared" si="6"/>
        <v>Zu Lang</v>
      </c>
      <c r="U39" s="28">
        <f t="shared" si="5"/>
        <v>1450.1</v>
      </c>
      <c r="V39" s="28">
        <f t="shared" si="5"/>
        <v>1000000</v>
      </c>
      <c r="W39">
        <v>9</v>
      </c>
      <c r="X39" s="29">
        <f t="shared" si="7"/>
        <v>0</v>
      </c>
    </row>
    <row r="40" spans="1:24" ht="15" x14ac:dyDescent="0.25">
      <c r="A40" s="267" t="s">
        <v>39</v>
      </c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W40">
        <v>10</v>
      </c>
      <c r="X40" s="29">
        <f t="shared" si="7"/>
        <v>0</v>
      </c>
    </row>
    <row r="41" spans="1:24" x14ac:dyDescent="0.2">
      <c r="A41" t="s">
        <v>41</v>
      </c>
      <c r="F41" s="26">
        <f>G17-15</f>
        <v>-15</v>
      </c>
      <c r="G41"/>
      <c r="H41"/>
      <c r="I41"/>
    </row>
    <row r="42" spans="1:24" x14ac:dyDescent="0.2">
      <c r="A42" t="s">
        <v>42</v>
      </c>
      <c r="F42" s="26">
        <f>E17-G17+15</f>
        <v>15</v>
      </c>
      <c r="G42"/>
      <c r="H42"/>
      <c r="I42"/>
    </row>
    <row r="43" spans="1:24" x14ac:dyDescent="0.2">
      <c r="A43" t="s">
        <v>43</v>
      </c>
      <c r="F43" s="26">
        <f>G17-35</f>
        <v>-35</v>
      </c>
      <c r="G43"/>
      <c r="H43"/>
      <c r="I43"/>
    </row>
    <row r="44" spans="1:24" x14ac:dyDescent="0.2">
      <c r="A44" t="s">
        <v>44</v>
      </c>
      <c r="F44" s="26">
        <f>E17-G17+35</f>
        <v>35</v>
      </c>
      <c r="G44"/>
      <c r="H44"/>
      <c r="I44"/>
    </row>
    <row r="45" spans="1:24" x14ac:dyDescent="0.2">
      <c r="A45" t="s">
        <v>45</v>
      </c>
      <c r="F45" s="26">
        <f>F17-23</f>
        <v>-23</v>
      </c>
      <c r="G45"/>
      <c r="H45"/>
      <c r="I45"/>
    </row>
    <row r="46" spans="1:24" x14ac:dyDescent="0.2">
      <c r="A46" t="s">
        <v>46</v>
      </c>
      <c r="F46" s="26">
        <f>E17-G17+23</f>
        <v>23</v>
      </c>
      <c r="G46"/>
      <c r="H46"/>
      <c r="I46"/>
    </row>
    <row r="47" spans="1:24" x14ac:dyDescent="0.2">
      <c r="F47" s="9"/>
      <c r="G47"/>
      <c r="H47"/>
      <c r="I47"/>
      <c r="P47" s="9"/>
    </row>
    <row r="48" spans="1:24" ht="15" x14ac:dyDescent="0.25">
      <c r="A48" s="34" t="s">
        <v>47</v>
      </c>
      <c r="B48" s="35"/>
      <c r="C48" s="35"/>
      <c r="D48" s="35"/>
      <c r="E48" s="35"/>
      <c r="F48" s="35" t="s">
        <v>48</v>
      </c>
      <c r="G48" s="35"/>
      <c r="H48" s="35"/>
      <c r="I48" s="35"/>
      <c r="J48" s="35"/>
      <c r="K48" s="35"/>
      <c r="L48" s="35"/>
    </row>
    <row r="49" spans="1:14" x14ac:dyDescent="0.2">
      <c r="A49" t="s">
        <v>49</v>
      </c>
      <c r="F49" s="26">
        <v>25</v>
      </c>
      <c r="G49"/>
      <c r="H49"/>
      <c r="I49"/>
    </row>
    <row r="50" spans="1:14" x14ac:dyDescent="0.2">
      <c r="A50" t="s">
        <v>33</v>
      </c>
      <c r="F50" s="26">
        <f>F28-25</f>
        <v>-67</v>
      </c>
      <c r="G50"/>
      <c r="H50"/>
      <c r="I50"/>
    </row>
    <row r="51" spans="1:14" x14ac:dyDescent="0.2">
      <c r="A51" s="33" t="s">
        <v>35</v>
      </c>
      <c r="F51" s="36" t="s">
        <v>50</v>
      </c>
      <c r="G51"/>
      <c r="H51"/>
      <c r="I51" t="s">
        <v>36</v>
      </c>
    </row>
    <row r="52" spans="1:14" x14ac:dyDescent="0.2">
      <c r="F52" s="129" t="str">
        <f>IF(B17=2,"Achtung!! 2 Flüglig!! Mittleres Loch auslassen","")</f>
        <v/>
      </c>
      <c r="G52"/>
      <c r="H52"/>
      <c r="I52"/>
    </row>
    <row r="53" spans="1:14" ht="15" x14ac:dyDescent="0.25">
      <c r="A53" s="267" t="s">
        <v>51</v>
      </c>
      <c r="B53" s="267"/>
      <c r="C53" s="267"/>
      <c r="D53" s="267"/>
      <c r="E53" s="267"/>
      <c r="F53" s="267"/>
      <c r="G53" s="267"/>
      <c r="H53" s="267"/>
      <c r="I53" s="267"/>
      <c r="J53" s="267"/>
      <c r="K53" s="267"/>
      <c r="L53" s="267"/>
    </row>
    <row r="54" spans="1:14" x14ac:dyDescent="0.2">
      <c r="A54" s="35" t="s">
        <v>52</v>
      </c>
      <c r="B54" s="37" t="s">
        <v>53</v>
      </c>
      <c r="C54" s="37"/>
      <c r="D54" s="206" t="s">
        <v>54</v>
      </c>
      <c r="E54" s="206"/>
      <c r="F54" s="35" t="s">
        <v>55</v>
      </c>
      <c r="G54" s="35"/>
      <c r="H54" s="35"/>
      <c r="I54" s="35"/>
      <c r="J54" s="35"/>
      <c r="K54" s="266" t="s">
        <v>13</v>
      </c>
      <c r="L54" s="266"/>
    </row>
    <row r="55" spans="1:14" x14ac:dyDescent="0.2">
      <c r="A55" s="12">
        <v>1</v>
      </c>
      <c r="B55" s="9">
        <f>VLOOKUP(A17,'Bestellung Commande'!A27:O65,11,FALSE)</f>
        <v>0</v>
      </c>
      <c r="C55" s="9"/>
      <c r="D55" s="252">
        <f>IF(ISERROR(VLOOKUP($B55,DATEN!$A$3:$D$10,2,FALSE)),"",VLOOKUP($B55,DATEN!$A$3:$D$10,2,FALSE))</f>
        <v>0</v>
      </c>
      <c r="E55" s="252"/>
      <c r="F55" s="12">
        <f>IF(ISERROR(VLOOKUP($B55,DATEN!$A$3:$D$10,3,FALSE)),"",VLOOKUP($B55,DATEN!$A$3:$D$10,3,FALSE))</f>
        <v>0</v>
      </c>
      <c r="G55"/>
      <c r="H55"/>
      <c r="K55" s="265">
        <f>$F$22</f>
        <v>0</v>
      </c>
      <c r="L55" s="265"/>
    </row>
    <row r="56" spans="1:14" x14ac:dyDescent="0.2">
      <c r="A56" s="12">
        <v>2</v>
      </c>
      <c r="B56" s="9">
        <f>VLOOKUP(A17,'Bestellung Commande'!A27:O65,12,FALSE)</f>
        <v>0</v>
      </c>
      <c r="C56" s="9"/>
      <c r="D56" s="252">
        <f>IF(ISERROR(VLOOKUP($B56,DATEN!$A$3:$D$10,2,FALSE)),"",VLOOKUP($B56,DATEN!$A$3:$D$10,2,FALSE))</f>
        <v>0</v>
      </c>
      <c r="E56" s="252"/>
      <c r="F56" s="9">
        <f>IF(ISERROR(VLOOKUP($B56,DATEN!$A$3:$D$10,3,FALSE)),"",VLOOKUP($B56,DATEN!$A$3:$D$10,3,FALSE))</f>
        <v>0</v>
      </c>
      <c r="G56"/>
      <c r="H56"/>
      <c r="K56" s="265">
        <f t="shared" ref="K56:K58" si="8">$F$22</f>
        <v>0</v>
      </c>
      <c r="L56" s="265"/>
    </row>
    <row r="57" spans="1:14" x14ac:dyDescent="0.2">
      <c r="A57" s="12">
        <v>3</v>
      </c>
      <c r="B57" s="9">
        <f>VLOOKUP(A17,'Bestellung Commande'!A27:O65,13,FALSE)</f>
        <v>0</v>
      </c>
      <c r="C57" s="9"/>
      <c r="D57" s="252">
        <f>IF(ISERROR(VLOOKUP($B57,DATEN!$A$3:$D$10,2,FALSE)),"",VLOOKUP($B57,DATEN!$A$3:$D$10,2,FALSE))</f>
        <v>0</v>
      </c>
      <c r="E57" s="252"/>
      <c r="F57" s="9">
        <f>IF(ISERROR(VLOOKUP($B57,DATEN!$A$3:$D$10,3,FALSE)),"",VLOOKUP($B57,DATEN!$A$3:$D$10,3,FALSE))</f>
        <v>0</v>
      </c>
      <c r="K57" s="265">
        <f t="shared" si="8"/>
        <v>0</v>
      </c>
      <c r="L57" s="265"/>
    </row>
    <row r="58" spans="1:14" x14ac:dyDescent="0.2">
      <c r="A58" s="12">
        <v>4</v>
      </c>
      <c r="B58" s="9">
        <f>VLOOKUP(A17,'Bestellung Commande'!A27:O65,14,FALSE)</f>
        <v>0</v>
      </c>
      <c r="C58" s="9"/>
      <c r="D58" s="252">
        <f>IF(ISERROR(VLOOKUP($B58,DATEN!$A$3:$D$10,2,FALSE)),"",VLOOKUP($B58,DATEN!$A$3:$D$10,2,FALSE))</f>
        <v>0</v>
      </c>
      <c r="E58" s="252"/>
      <c r="F58" s="9">
        <f>IF(ISERROR(VLOOKUP($B58,DATEN!$A$3:$D$10,3,FALSE)),"",VLOOKUP($B58,DATEN!$A$3:$D$10,3,FALSE))</f>
        <v>0</v>
      </c>
      <c r="K58" s="265">
        <f t="shared" si="8"/>
        <v>0</v>
      </c>
      <c r="L58" s="265"/>
      <c r="N58" s="46">
        <f>'Bestellung Commande'!B44</f>
        <v>0</v>
      </c>
    </row>
  </sheetData>
  <sheetProtection algorithmName="SHA-512" hashValue="rWANwwbeHWES9cWTaa+67JCo6vh2V539Hd0EXFGBJjj1OlfZSSAikFIakAdL245gAQjKvj/e5e/b3MzB7Y4LTg==" saltValue="Wou4tXaXPKTmYlNW+F1M6A==" spinCount="100000" sheet="1" objects="1" scenarios="1"/>
  <mergeCells count="52">
    <mergeCell ref="D57:E57"/>
    <mergeCell ref="K57:L57"/>
    <mergeCell ref="D58:E58"/>
    <mergeCell ref="K58:L58"/>
    <mergeCell ref="A53:L53"/>
    <mergeCell ref="D54:E54"/>
    <mergeCell ref="K54:L54"/>
    <mergeCell ref="D55:E55"/>
    <mergeCell ref="K55:L55"/>
    <mergeCell ref="D56:E56"/>
    <mergeCell ref="K56:L56"/>
    <mergeCell ref="A40:L40"/>
    <mergeCell ref="A13:B13"/>
    <mergeCell ref="D13:F13"/>
    <mergeCell ref="A14:B14"/>
    <mergeCell ref="D14:F14"/>
    <mergeCell ref="B16:C16"/>
    <mergeCell ref="I16:L16"/>
    <mergeCell ref="B17:C17"/>
    <mergeCell ref="A20:N20"/>
    <mergeCell ref="A24:N24"/>
    <mergeCell ref="A29:N29"/>
    <mergeCell ref="A34:N34"/>
    <mergeCell ref="A10:B10"/>
    <mergeCell ref="D10:F10"/>
    <mergeCell ref="G10:N11"/>
    <mergeCell ref="A11:F11"/>
    <mergeCell ref="A12:B12"/>
    <mergeCell ref="D12:F12"/>
    <mergeCell ref="A6:B6"/>
    <mergeCell ref="D6:F6"/>
    <mergeCell ref="G6:N6"/>
    <mergeCell ref="A7:F7"/>
    <mergeCell ref="G7:N9"/>
    <mergeCell ref="A8:B8"/>
    <mergeCell ref="D8:F8"/>
    <mergeCell ref="A9:B9"/>
    <mergeCell ref="D9:F9"/>
    <mergeCell ref="D4:F4"/>
    <mergeCell ref="G4:J4"/>
    <mergeCell ref="K4:N4"/>
    <mergeCell ref="A5:B5"/>
    <mergeCell ref="D5:F5"/>
    <mergeCell ref="G5:J5"/>
    <mergeCell ref="K5:N5"/>
    <mergeCell ref="A1:N1"/>
    <mergeCell ref="A2:F2"/>
    <mergeCell ref="G2:N2"/>
    <mergeCell ref="A3:B3"/>
    <mergeCell ref="D3:F3"/>
    <mergeCell ref="G3:J3"/>
    <mergeCell ref="K3:N3"/>
  </mergeCells>
  <printOptions horizontalCentered="1"/>
  <pageMargins left="0.27" right="0.31" top="0.74803149606299213" bottom="0.74803149606299213" header="0.31496062992125984" footer="0.31496062992125984"/>
  <pageSetup paperSize="9" scale="87" orientation="portrait" r:id="rId1"/>
  <headerFooter>
    <oddHeader>&amp;R&amp;G</oddHeader>
    <oddFooter>&amp;LDuckdatum: &amp;D
&amp;F&amp;R&amp;P/&amp;N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4DD0403-36A2-4FAC-AE9E-4A74964EF491}">
          <x14:formula1>
            <xm:f>DATEN!$I$1:$J$1</xm:f>
          </x14:formula1>
          <xm:sqref>K3:N3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AFBE0-4081-4A6F-B85F-9CAA78E20A6F}">
  <sheetPr codeName="Tabelle14"/>
  <dimension ref="A1:X58"/>
  <sheetViews>
    <sheetView view="pageBreakPreview" topLeftCell="A3" zoomScaleNormal="120" zoomScaleSheetLayoutView="100" workbookViewId="0">
      <selection activeCell="A12" sqref="A12:B12"/>
    </sheetView>
  </sheetViews>
  <sheetFormatPr baseColWidth="10" defaultColWidth="11" defaultRowHeight="14.25" x14ac:dyDescent="0.2"/>
  <cols>
    <col min="1" max="3" width="8.875" customWidth="1"/>
    <col min="4" max="5" width="6.5" customWidth="1"/>
    <col min="6" max="6" width="10.625" customWidth="1"/>
    <col min="7" max="7" width="8.75" style="9" customWidth="1"/>
    <col min="8" max="8" width="8.875" style="9" customWidth="1"/>
    <col min="9" max="9" width="4.875" style="9" customWidth="1"/>
    <col min="10" max="10" width="8.75" customWidth="1"/>
    <col min="11" max="11" width="4.5" style="9" customWidth="1"/>
    <col min="12" max="13" width="4.5" customWidth="1"/>
    <col min="14" max="14" width="4.5" style="9" customWidth="1"/>
  </cols>
  <sheetData>
    <row r="1" spans="1:18" ht="23.25" x14ac:dyDescent="0.2">
      <c r="A1" s="238" t="s">
        <v>9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1:18" ht="15" x14ac:dyDescent="0.25">
      <c r="A2" s="253" t="s">
        <v>0</v>
      </c>
      <c r="B2" s="254"/>
      <c r="C2" s="254"/>
      <c r="D2" s="254"/>
      <c r="E2" s="254"/>
      <c r="F2" s="255"/>
      <c r="G2" s="161" t="s">
        <v>1</v>
      </c>
      <c r="H2" s="162"/>
      <c r="I2" s="162"/>
      <c r="J2" s="162"/>
      <c r="K2" s="162"/>
      <c r="L2" s="162"/>
      <c r="M2" s="162"/>
      <c r="N2" s="162"/>
    </row>
    <row r="3" spans="1:18" ht="15" x14ac:dyDescent="0.25">
      <c r="A3" s="165" t="str">
        <f>VLOOKUP(DATEN!I2,DATEN!$I$1:$J$39,IF($K$3="Deutsch", 1, 2),FALSE)</f>
        <v>Kunde Name:</v>
      </c>
      <c r="B3" s="167"/>
      <c r="C3" s="11"/>
      <c r="D3" s="212">
        <f>'Bestellung Commande'!C2</f>
        <v>0</v>
      </c>
      <c r="E3" s="212"/>
      <c r="F3" s="212"/>
      <c r="G3" s="256" t="s">
        <v>2</v>
      </c>
      <c r="H3" s="257"/>
      <c r="I3" s="257"/>
      <c r="J3" s="258"/>
      <c r="K3" s="259" t="s">
        <v>3</v>
      </c>
      <c r="L3" s="260"/>
      <c r="M3" s="260"/>
      <c r="N3" s="261"/>
    </row>
    <row r="4" spans="1:18" ht="15" x14ac:dyDescent="0.25">
      <c r="A4" s="10" t="str">
        <f>VLOOKUP(DATEN!I3,DATEN!$I$1:$J$39,IF($K$3="Deutsch", 1, 2),FALSE)</f>
        <v>Kontaktperson:</v>
      </c>
      <c r="B4" s="11"/>
      <c r="C4" s="11"/>
      <c r="D4" s="212">
        <f>'Bestellung Commande'!C3</f>
        <v>0</v>
      </c>
      <c r="E4" s="212"/>
      <c r="F4" s="212"/>
      <c r="G4" s="256" t="str">
        <f>VLOOKUP(DATEN!I9,DATEN!$I$1:$J$39,IF($K$3="Deutsch", 1, 2),FALSE)</f>
        <v>Bestelldatum:</v>
      </c>
      <c r="H4" s="257"/>
      <c r="I4" s="257"/>
      <c r="J4" s="258"/>
      <c r="K4" s="263">
        <f>'Bestellung Commande'!L3</f>
        <v>0</v>
      </c>
      <c r="L4" s="260"/>
      <c r="M4" s="260"/>
      <c r="N4" s="261"/>
    </row>
    <row r="5" spans="1:18" ht="15" x14ac:dyDescent="0.25">
      <c r="A5" s="165" t="str">
        <f>VLOOKUP(DATEN!I4,DATEN!$I$1:$J$39,IF($K$3="Deutsch", 1, 2),FALSE)</f>
        <v>Kommision:</v>
      </c>
      <c r="B5" s="167"/>
      <c r="C5" s="11"/>
      <c r="D5" s="212">
        <f>'Bestellung Commande'!C4</f>
        <v>0</v>
      </c>
      <c r="E5" s="212"/>
      <c r="F5" s="212"/>
      <c r="G5" s="256" t="str">
        <f>VLOOKUP(DATEN!I10,DATEN!$I$1:$J$39,IF($K$3="Deutsch", 1, 2),FALSE)</f>
        <v>Wunsch Liefertermin:</v>
      </c>
      <c r="H5" s="257"/>
      <c r="I5" s="257"/>
      <c r="J5" s="258"/>
      <c r="K5" s="263">
        <f>'Bestellung Commande'!L4</f>
        <v>0</v>
      </c>
      <c r="L5" s="260"/>
      <c r="M5" s="260"/>
      <c r="N5" s="261"/>
    </row>
    <row r="6" spans="1:18" ht="15" x14ac:dyDescent="0.25">
      <c r="A6" s="165" t="str">
        <f>VLOOKUP(DATEN!I5,DATEN!$I$1:$J$39,IF($K$3="Deutsch", 1, 2),FALSE)</f>
        <v>Kontakt Telefon:</v>
      </c>
      <c r="B6" s="167"/>
      <c r="C6" s="11"/>
      <c r="D6" s="212">
        <f>'Bestellung Commande'!C5</f>
        <v>0</v>
      </c>
      <c r="E6" s="212"/>
      <c r="F6" s="212"/>
      <c r="G6" s="163" t="str">
        <f>VLOOKUP(DATEN!I11,DATEN!$I$1:$J$39,IF($K$3="Deutsch", 1, 2),FALSE)</f>
        <v>Bemerkung:</v>
      </c>
      <c r="H6" s="164"/>
      <c r="I6" s="164"/>
      <c r="J6" s="164"/>
      <c r="K6" s="164"/>
      <c r="L6" s="164"/>
      <c r="M6" s="164"/>
      <c r="N6" s="164"/>
    </row>
    <row r="7" spans="1:18" ht="15" x14ac:dyDescent="0.25">
      <c r="A7" s="264" t="s">
        <v>4</v>
      </c>
      <c r="B7" s="264"/>
      <c r="C7" s="264"/>
      <c r="D7" s="264"/>
      <c r="E7" s="264"/>
      <c r="F7" s="264"/>
      <c r="G7" s="225" t="str">
        <f>VLOOKUP(DATEN!I11,DATEN!$I$1:$J$39,IF($K$3="Deutsch", 1, 2),FALSE)</f>
        <v>Bemerkung:</v>
      </c>
      <c r="H7" s="225"/>
      <c r="I7" s="225"/>
      <c r="J7" s="225"/>
      <c r="K7" s="225"/>
      <c r="L7" s="225"/>
      <c r="M7" s="225"/>
      <c r="N7" s="225"/>
    </row>
    <row r="8" spans="1:18" ht="15" x14ac:dyDescent="0.25">
      <c r="A8" s="165" t="str">
        <f>VLOOKUP(DATEN!I6,DATEN!$I$1:$J$39,IF($K$3="Deutsch", 1, 2),FALSE)</f>
        <v>Strasse:</v>
      </c>
      <c r="B8" s="167"/>
      <c r="C8" s="11"/>
      <c r="D8" s="212">
        <f>'Bestellung Commande'!C8</f>
        <v>0</v>
      </c>
      <c r="E8" s="212"/>
      <c r="F8" s="212"/>
      <c r="G8" s="225"/>
      <c r="H8" s="225"/>
      <c r="I8" s="225"/>
      <c r="J8" s="225"/>
      <c r="K8" s="225"/>
      <c r="L8" s="225"/>
      <c r="M8" s="225"/>
      <c r="N8" s="225"/>
    </row>
    <row r="9" spans="1:18" ht="15" x14ac:dyDescent="0.25">
      <c r="A9" s="165" t="str">
        <f>VLOOKUP(DATEN!I7,DATEN!$I$1:$J$39,IF($K$3="Deutsch", 1, 2),FALSE)</f>
        <v>PLZ Ort:</v>
      </c>
      <c r="B9" s="167"/>
      <c r="C9" s="11"/>
      <c r="D9" s="212">
        <f>'Bestellung Commande'!C9</f>
        <v>0</v>
      </c>
      <c r="E9" s="212"/>
      <c r="F9" s="212"/>
      <c r="G9" s="225"/>
      <c r="H9" s="225"/>
      <c r="I9" s="225"/>
      <c r="J9" s="225"/>
      <c r="K9" s="225"/>
      <c r="L9" s="225"/>
      <c r="M9" s="225"/>
      <c r="N9" s="225"/>
    </row>
    <row r="10" spans="1:18" ht="15" customHeight="1" x14ac:dyDescent="0.25">
      <c r="A10" s="165" t="str">
        <f>VLOOKUP(DATEN!I8,DATEN!$I$1:$J$39,IF($K$3="Deutsch", 1, 2),FALSE)</f>
        <v>Kontakt:</v>
      </c>
      <c r="B10" s="167"/>
      <c r="C10" s="11"/>
      <c r="D10" s="212">
        <f>'Bestellung Commande'!C10</f>
        <v>0</v>
      </c>
      <c r="E10" s="212"/>
      <c r="F10" s="212"/>
      <c r="G10" s="262" t="str">
        <f>IF(VLOOKUP($A$17,'Bestellung Commande'!$A$27:$O$65,10,FALSE)&lt;&gt;"","Sonderbau!!!","")</f>
        <v/>
      </c>
      <c r="H10" s="262"/>
      <c r="I10" s="262"/>
      <c r="J10" s="262"/>
      <c r="K10" s="262"/>
      <c r="L10" s="262"/>
      <c r="M10" s="262"/>
      <c r="N10" s="262"/>
    </row>
    <row r="11" spans="1:18" ht="15" customHeight="1" x14ac:dyDescent="0.25">
      <c r="A11" s="264" t="s">
        <v>5</v>
      </c>
      <c r="B11" s="264"/>
      <c r="C11" s="264"/>
      <c r="D11" s="264"/>
      <c r="E11" s="264"/>
      <c r="F11" s="264"/>
      <c r="G11" s="262"/>
      <c r="H11" s="262"/>
      <c r="I11" s="262"/>
      <c r="J11" s="262"/>
      <c r="K11" s="262"/>
      <c r="L11" s="262"/>
      <c r="M11" s="262"/>
      <c r="N11" s="262"/>
    </row>
    <row r="12" spans="1:18" ht="15" customHeight="1" x14ac:dyDescent="0.4">
      <c r="A12" s="165" t="str">
        <f>VLOOKUP(DATEN!I6,DATEN!$I$1:$J$39,IF($K$3="Deutsch", 1, 2),FALSE)</f>
        <v>Strasse:</v>
      </c>
      <c r="B12" s="167"/>
      <c r="C12" s="11"/>
      <c r="D12" s="212">
        <f>'Bestellung Commande'!C12</f>
        <v>0</v>
      </c>
      <c r="E12" s="212"/>
      <c r="F12" s="212"/>
      <c r="G12" s="146"/>
      <c r="H12" s="146"/>
      <c r="I12" s="146"/>
      <c r="J12" s="146"/>
      <c r="K12" s="146"/>
      <c r="L12" s="146"/>
      <c r="M12" s="146"/>
      <c r="N12" s="146"/>
    </row>
    <row r="13" spans="1:18" ht="15" customHeight="1" x14ac:dyDescent="0.4">
      <c r="A13" s="165" t="str">
        <f>VLOOKUP(DATEN!I7,DATEN!$I$1:$J$39,IF($K$3="Deutsch", 1, 2),FALSE)</f>
        <v>PLZ Ort:</v>
      </c>
      <c r="B13" s="167"/>
      <c r="C13" s="11"/>
      <c r="D13" s="212">
        <f>'Bestellung Commande'!C13</f>
        <v>0</v>
      </c>
      <c r="E13" s="212"/>
      <c r="F13" s="212"/>
      <c r="G13" s="146"/>
      <c r="H13" s="146"/>
      <c r="I13" s="146"/>
      <c r="J13" s="146"/>
      <c r="K13" s="146"/>
      <c r="L13" s="146"/>
      <c r="M13" s="146"/>
      <c r="N13" s="146"/>
    </row>
    <row r="14" spans="1:18" ht="15" customHeight="1" x14ac:dyDescent="0.4">
      <c r="A14" s="165" t="str">
        <f>VLOOKUP(DATEN!I8,DATEN!$I$1:$J$39,IF($K$3="Deutsch", 1, 2),FALSE)</f>
        <v>Kontakt:</v>
      </c>
      <c r="B14" s="167"/>
      <c r="C14" s="11"/>
      <c r="D14" s="212">
        <f>'Bestellung Commande'!C14</f>
        <v>0</v>
      </c>
      <c r="E14" s="212"/>
      <c r="F14" s="212"/>
      <c r="G14" s="146"/>
      <c r="H14" s="146"/>
      <c r="I14" s="146"/>
      <c r="J14" s="146"/>
      <c r="K14" s="146"/>
      <c r="L14" s="146"/>
      <c r="M14" s="146"/>
      <c r="N14" s="146"/>
    </row>
    <row r="15" spans="1:18" ht="15.75" thickBot="1" x14ac:dyDescent="0.3">
      <c r="A15" s="140" t="str">
        <f>'Bestellung Commande'!A67</f>
        <v>V9.5</v>
      </c>
      <c r="B15" s="14"/>
      <c r="C15" s="14"/>
      <c r="D15" s="15"/>
      <c r="E15" s="15"/>
      <c r="F15" s="15"/>
      <c r="G15" s="13"/>
      <c r="H15" s="13"/>
      <c r="I15" s="13"/>
      <c r="J15" s="13"/>
      <c r="K15" s="13"/>
      <c r="L15" s="13"/>
      <c r="M15" s="16">
        <f>'Bestellung Commande'!N24</f>
        <v>73</v>
      </c>
      <c r="N15" s="13"/>
      <c r="O15" s="20" t="s">
        <v>220</v>
      </c>
      <c r="P15" s="9"/>
      <c r="Q15" s="9"/>
      <c r="R15" s="9"/>
    </row>
    <row r="16" spans="1:18" s="19" customFormat="1" ht="28.5" customHeight="1" x14ac:dyDescent="0.2">
      <c r="A16" s="17" t="s">
        <v>216</v>
      </c>
      <c r="B16" s="176" t="str">
        <f>VLOOKUP(DATEN!I14,DATEN!$I$1:$J$39,IF($K$3="Deutsch", 1, 2),FALSE)</f>
        <v>Anz.
Flügel</v>
      </c>
      <c r="C16" s="176"/>
      <c r="D16" s="17" t="str">
        <f>VLOOKUP(DATEN!I15,DATEN!$I$1:$J$39,IF($K$3="Deutsch", 1, 2),FALSE)</f>
        <v>Stk Schw.</v>
      </c>
      <c r="E16" s="17" t="str">
        <f>VLOOKUP(DATEN!I16,DATEN!$I$1:$J$39,IF($K$3="Deutsch", 1, 2),FALSE)</f>
        <v>RA</v>
      </c>
      <c r="F16" s="17" t="str">
        <f>VLOOKUP(DATEN!I17,DATEN!$I$1:$J$39,IF($K$3="Deutsch", 1, 2),FALSE)</f>
        <v>RBL 
(min45)</v>
      </c>
      <c r="G16" s="17" t="str">
        <f>VLOOKUP(DATEN!I18,DATEN!$I$1:$J$39,IF($K$3="Deutsch", 1, 2),FALSE)</f>
        <v>RBR 
(min45)</v>
      </c>
      <c r="H16" s="17"/>
      <c r="I16" s="184" t="str">
        <f>VLOOKUP(DATEN!I19,DATEN!$I$1:$J$39,IF($K$3="Deutsch", 1, 2),FALSE)</f>
        <v>Verbreiterungen</v>
      </c>
      <c r="J16" s="185"/>
      <c r="K16" s="185"/>
      <c r="L16" s="185"/>
      <c r="M16" s="18" t="str">
        <f>VLOOKUP(DATEN!I20,DATEN!$I$1:$J$39,IF($K$3="Deutsch",1,2),FALSE)</f>
        <v>Total</v>
      </c>
      <c r="N16" s="17"/>
      <c r="O16" s="20" t="str">
        <f>E25</f>
        <v>Profil</v>
      </c>
      <c r="P16" s="20" t="str">
        <f>A26</f>
        <v>Links</v>
      </c>
      <c r="Q16" s="20" t="str">
        <f>A27</f>
        <v>Rechts</v>
      </c>
      <c r="R16" s="20" t="str">
        <f>A28</f>
        <v>Mittelteil</v>
      </c>
    </row>
    <row r="17" spans="1:24" ht="15" thickBot="1" x14ac:dyDescent="0.25">
      <c r="A17" s="41">
        <v>11</v>
      </c>
      <c r="B17" s="268">
        <f>VLOOKUP($A$17,'Bestellung Commande'!$A$27:$O$65,3,FALSE)</f>
        <v>0</v>
      </c>
      <c r="C17" s="268"/>
      <c r="D17" s="41">
        <f>VLOOKUP($A$17,'Bestellung Commande'!$A$27:$O$65,5,FALSE)</f>
        <v>0</v>
      </c>
      <c r="E17" s="41">
        <f>VLOOKUP($A$17,'Bestellung Commande'!$A$27:$O$65,6,FALSE)</f>
        <v>0</v>
      </c>
      <c r="F17" s="41">
        <f>VLOOKUP($A$17,'Bestellung Commande'!$A$27:$O$65,7,FALSE)</f>
        <v>0</v>
      </c>
      <c r="G17" s="41">
        <f>VLOOKUP($A$17,'Bestellung Commande'!$A$27:$O$65,8,FALSE)</f>
        <v>0</v>
      </c>
      <c r="H17" s="41">
        <f>VLOOKUP($A$17,'Bestellung Commande'!$A$27:$O$65,9,FALSE)</f>
        <v>0</v>
      </c>
      <c r="I17" s="22">
        <f>VLOOKUP($A$17,'Bestellung Commande'!$A$27:$O$65,10,FALSE)</f>
        <v>0</v>
      </c>
      <c r="J17" s="23">
        <f>VLOOKUP($A$17,'Bestellung Commande'!$A$27:$O$65,11,FALSE)</f>
        <v>0</v>
      </c>
      <c r="K17" s="23">
        <f>VLOOKUP($A$17,'Bestellung Commande'!$A$27:$O$65,12,FALSE)</f>
        <v>0</v>
      </c>
      <c r="L17" s="23">
        <f>VLOOKUP($A$17,'Bestellung Commande'!$A$27:$O$65,13,FALSE)</f>
        <v>0</v>
      </c>
      <c r="M17" s="125">
        <f>VLOOKUP($A$17,'Bestellung Commande'!$A$27:$O$65,14,FALSE)</f>
        <v>0</v>
      </c>
      <c r="N17" s="24"/>
      <c r="O17" s="9" t="str">
        <f>F25</f>
        <v>C298927</v>
      </c>
      <c r="P17" s="29">
        <f>F26</f>
        <v>20</v>
      </c>
      <c r="Q17" s="29">
        <f>F27</f>
        <v>20</v>
      </c>
      <c r="R17" s="29">
        <f>F28</f>
        <v>-42</v>
      </c>
    </row>
    <row r="18" spans="1:24" x14ac:dyDescent="0.2">
      <c r="B18" s="41" cm="1">
        <f t="array" ref="B18">INDEX('Bestellung Commande'!$C$27:$C$66, MATCH($A$17, 'Bestellung Commande'!$A$27:$A$66, 0) + 1)</f>
        <v>0</v>
      </c>
      <c r="C18" s="41" cm="1">
        <f t="array" ref="C18">INDEX('Bestellung Commande'!$D$27:$D$66, MATCH($A$17, 'Bestellung Commande'!$A$27:$A$66, 0) + 1)</f>
        <v>0</v>
      </c>
    </row>
    <row r="20" spans="1:24" ht="15" x14ac:dyDescent="0.25">
      <c r="A20" s="267" t="s">
        <v>10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</row>
    <row r="21" spans="1:24" ht="15" x14ac:dyDescent="0.25">
      <c r="E21" s="25" t="s">
        <v>11</v>
      </c>
      <c r="F21" s="9" t="s">
        <v>12</v>
      </c>
      <c r="G21"/>
      <c r="H21"/>
      <c r="I21"/>
    </row>
    <row r="22" spans="1:24" x14ac:dyDescent="0.2">
      <c r="E22" t="s">
        <v>13</v>
      </c>
      <c r="F22" s="26">
        <f>E17</f>
        <v>0</v>
      </c>
      <c r="G22"/>
      <c r="H22"/>
      <c r="I22"/>
    </row>
    <row r="23" spans="1:24" x14ac:dyDescent="0.2">
      <c r="F23" s="9">
        <f>B17</f>
        <v>0</v>
      </c>
      <c r="G23"/>
      <c r="H23"/>
      <c r="I23"/>
    </row>
    <row r="24" spans="1:24" ht="15" x14ac:dyDescent="0.25">
      <c r="A24" s="267" t="s">
        <v>14</v>
      </c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</row>
    <row r="25" spans="1:24" ht="15" x14ac:dyDescent="0.25">
      <c r="E25" s="25" t="s">
        <v>11</v>
      </c>
      <c r="F25" s="9" t="s">
        <v>15</v>
      </c>
      <c r="G25"/>
      <c r="H25"/>
      <c r="I25"/>
    </row>
    <row r="26" spans="1:24" x14ac:dyDescent="0.2">
      <c r="A26" t="s">
        <v>16</v>
      </c>
      <c r="E26" t="s">
        <v>13</v>
      </c>
      <c r="F26" s="26">
        <f>F17+20</f>
        <v>20</v>
      </c>
      <c r="G26"/>
      <c r="H26"/>
      <c r="I26"/>
      <c r="W26" s="121" t="s">
        <v>208</v>
      </c>
      <c r="X26" s="122">
        <f>F37-F36</f>
        <v>-100</v>
      </c>
    </row>
    <row r="27" spans="1:24" x14ac:dyDescent="0.2">
      <c r="A27" t="s">
        <v>17</v>
      </c>
      <c r="E27" t="s">
        <v>13</v>
      </c>
      <c r="F27" s="26">
        <f>G17+20</f>
        <v>20</v>
      </c>
      <c r="G27"/>
      <c r="H27"/>
      <c r="I27"/>
      <c r="W27" t="s">
        <v>209</v>
      </c>
      <c r="X27">
        <f>[1]DATEN!D14</f>
        <v>300</v>
      </c>
    </row>
    <row r="28" spans="1:24" x14ac:dyDescent="0.2">
      <c r="A28" t="s">
        <v>18</v>
      </c>
      <c r="E28" t="s">
        <v>13</v>
      </c>
      <c r="F28" s="26">
        <f>(E17-(F26+F27))-2</f>
        <v>-42</v>
      </c>
      <c r="G28"/>
      <c r="H28"/>
      <c r="I28"/>
      <c r="P28" t="s">
        <v>293</v>
      </c>
      <c r="T28" t="s">
        <v>294</v>
      </c>
      <c r="W28" t="s">
        <v>210</v>
      </c>
      <c r="X28">
        <f>ROUNDUP(X26/X27,0)</f>
        <v>-1</v>
      </c>
    </row>
    <row r="29" spans="1:24" ht="15" x14ac:dyDescent="0.25">
      <c r="A29" s="267" t="s">
        <v>19</v>
      </c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7" t="str">
        <f t="shared" ref="O29:O39" si="0">IF(AND($F$32&gt;=Q29,$F$32&lt;R29),P29,"")</f>
        <v/>
      </c>
      <c r="P29" s="28" t="str">
        <f>" "</f>
        <v xml:space="preserve"> </v>
      </c>
      <c r="Q29" s="28">
        <v>-1000000</v>
      </c>
      <c r="R29" s="28">
        <v>0</v>
      </c>
      <c r="S29" s="27" t="str">
        <f t="shared" ref="S29:S39" si="1">IF(AND($G$32&gt;=U29,$G$32&lt;V29),T29,"")</f>
        <v/>
      </c>
      <c r="T29" s="28" t="str">
        <f t="shared" ref="T29:T30" si="2">P29</f>
        <v xml:space="preserve"> </v>
      </c>
      <c r="U29" s="28">
        <f t="shared" ref="U29:U30" si="3">Q29</f>
        <v>-1000000</v>
      </c>
      <c r="V29" s="28">
        <f t="shared" ref="V29:V30" si="4">R29</f>
        <v>0</v>
      </c>
      <c r="W29" t="s">
        <v>211</v>
      </c>
      <c r="X29">
        <f>X26/X28</f>
        <v>100</v>
      </c>
    </row>
    <row r="30" spans="1:24" ht="15" x14ac:dyDescent="0.25">
      <c r="F30" s="25" t="s">
        <v>293</v>
      </c>
      <c r="G30" s="25" t="s">
        <v>294</v>
      </c>
      <c r="H30"/>
      <c r="I30"/>
      <c r="K30"/>
      <c r="N30"/>
      <c r="O30" s="27" t="str">
        <f t="shared" si="0"/>
        <v/>
      </c>
      <c r="P30" s="28"/>
      <c r="Q30" s="28">
        <v>0.1</v>
      </c>
      <c r="R30" s="28">
        <v>247.9</v>
      </c>
      <c r="S30" s="27" t="str">
        <f t="shared" si="1"/>
        <v/>
      </c>
      <c r="T30" s="28">
        <f t="shared" si="2"/>
        <v>0</v>
      </c>
      <c r="U30" s="28">
        <f t="shared" si="3"/>
        <v>0.1</v>
      </c>
      <c r="V30" s="28">
        <f t="shared" si="4"/>
        <v>247.9</v>
      </c>
    </row>
    <row r="31" spans="1:24" x14ac:dyDescent="0.2">
      <c r="F31" s="9" t="str">
        <f>O29&amp;O31&amp;O32&amp;O33&amp;O34&amp;O35&amp;O36&amp;O37&amp;O38&amp;O39</f>
        <v/>
      </c>
      <c r="G31" s="9" t="str">
        <f>S29&amp;S31&amp;S32&amp;S33&amp;S34&amp;S35&amp;S36&amp;S37&amp;S38&amp;S39</f>
        <v/>
      </c>
      <c r="I31"/>
      <c r="O31" s="27" t="str">
        <f t="shared" si="0"/>
        <v/>
      </c>
      <c r="P31" s="28" t="str">
        <f>DATEN!M7</f>
        <v>C555366</v>
      </c>
      <c r="Q31" s="28">
        <f>DATEN!N7</f>
        <v>275</v>
      </c>
      <c r="R31" s="28">
        <f>DATEN!O7</f>
        <v>400</v>
      </c>
      <c r="S31" s="27" t="str">
        <f t="shared" si="1"/>
        <v/>
      </c>
      <c r="T31" s="28" t="str">
        <f>P31</f>
        <v>C555366</v>
      </c>
      <c r="U31" s="28">
        <f t="shared" ref="U31:V39" si="5">Q31</f>
        <v>275</v>
      </c>
      <c r="V31" s="28">
        <f t="shared" si="5"/>
        <v>400</v>
      </c>
      <c r="W31">
        <v>1</v>
      </c>
      <c r="X31" s="29">
        <f>F36</f>
        <v>50</v>
      </c>
    </row>
    <row r="32" spans="1:24" x14ac:dyDescent="0.2">
      <c r="A32" t="s">
        <v>13</v>
      </c>
      <c r="F32" s="26" t="b">
        <f>IF(AND(B17=1,B18=0),H17,IF(AND(B17=1,B18&gt;0),B18,IF(AND(B17=2,B18=0),(H17-20)/2,IF(AND(B17=2,B18&gt;0),B18))))</f>
        <v>0</v>
      </c>
      <c r="G32" s="26">
        <f>IF(B17=1,0,IF(AND(B17=2,C18=0),0,C18))</f>
        <v>0</v>
      </c>
      <c r="I32"/>
      <c r="O32" s="27" t="str">
        <f t="shared" si="0"/>
        <v/>
      </c>
      <c r="P32" s="28" t="str">
        <f>DATEN!M8</f>
        <v>C555367</v>
      </c>
      <c r="Q32" s="28">
        <f>DATEN!N8</f>
        <v>400</v>
      </c>
      <c r="R32" s="28">
        <f>DATEN!O8</f>
        <v>550</v>
      </c>
      <c r="S32" s="27" t="str">
        <f t="shared" si="1"/>
        <v/>
      </c>
      <c r="T32" s="28" t="str">
        <f t="shared" ref="T32:T39" si="6">P32</f>
        <v>C555367</v>
      </c>
      <c r="U32" s="28">
        <f t="shared" si="5"/>
        <v>400</v>
      </c>
      <c r="V32" s="28">
        <f t="shared" si="5"/>
        <v>550</v>
      </c>
      <c r="W32">
        <v>2</v>
      </c>
      <c r="X32" s="29">
        <f>ROUND(IF(W32-1&gt;$X$28,0,X31+$X$29),0)</f>
        <v>0</v>
      </c>
    </row>
    <row r="33" spans="1:24" x14ac:dyDescent="0.2">
      <c r="A33" t="s">
        <v>23</v>
      </c>
      <c r="F33" s="30">
        <f>IF(AND(B17=2,B18=0),B17,1)*D17</f>
        <v>0</v>
      </c>
      <c r="G33" s="30">
        <f>IF(G32&gt;0,1,0)*D17</f>
        <v>0</v>
      </c>
      <c r="I33"/>
      <c r="O33" s="27" t="str">
        <f t="shared" si="0"/>
        <v/>
      </c>
      <c r="P33" s="28" t="str">
        <f>DATEN!M9</f>
        <v>C555368</v>
      </c>
      <c r="Q33" s="28">
        <f>DATEN!N9</f>
        <v>550</v>
      </c>
      <c r="R33" s="28">
        <f>DATEN!O9</f>
        <v>700</v>
      </c>
      <c r="S33" s="27" t="str">
        <f t="shared" si="1"/>
        <v/>
      </c>
      <c r="T33" s="28" t="str">
        <f t="shared" si="6"/>
        <v>C555368</v>
      </c>
      <c r="U33" s="28">
        <f t="shared" si="5"/>
        <v>550</v>
      </c>
      <c r="V33" s="28">
        <f t="shared" si="5"/>
        <v>700</v>
      </c>
      <c r="W33">
        <v>3</v>
      </c>
      <c r="X33" s="29">
        <f t="shared" ref="X33:X40" si="7">ROUND(IF(W33-1&gt;$X$28,0,X32+$X$29),0)</f>
        <v>0</v>
      </c>
    </row>
    <row r="34" spans="1:24" ht="15" x14ac:dyDescent="0.25">
      <c r="A34" s="267" t="s">
        <v>25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7" t="str">
        <f>IF(AND($F$32&gt;=Q34,$F$32&lt;R34),P34,"")</f>
        <v/>
      </c>
      <c r="P34" s="28" t="str">
        <f>DATEN!M10</f>
        <v>C555369</v>
      </c>
      <c r="Q34" s="28">
        <f>DATEN!N10</f>
        <v>700</v>
      </c>
      <c r="R34" s="28">
        <f>DATEN!O10</f>
        <v>850</v>
      </c>
      <c r="S34" s="27" t="str">
        <f t="shared" si="1"/>
        <v/>
      </c>
      <c r="T34" s="28" t="str">
        <f t="shared" si="6"/>
        <v>C555369</v>
      </c>
      <c r="U34" s="28">
        <f t="shared" si="5"/>
        <v>700</v>
      </c>
      <c r="V34" s="28">
        <f t="shared" si="5"/>
        <v>850</v>
      </c>
      <c r="W34">
        <v>4</v>
      </c>
      <c r="X34" s="29">
        <f t="shared" si="7"/>
        <v>0</v>
      </c>
    </row>
    <row r="35" spans="1:24" ht="15" x14ac:dyDescent="0.25">
      <c r="A35" s="31" t="s">
        <v>27</v>
      </c>
      <c r="F35" s="9" t="s">
        <v>28</v>
      </c>
      <c r="G35" s="32" t="s">
        <v>29</v>
      </c>
      <c r="H35" s="32"/>
      <c r="I35"/>
      <c r="O35" s="27" t="str">
        <f t="shared" si="0"/>
        <v/>
      </c>
      <c r="P35" s="28" t="str">
        <f>DATEN!M11</f>
        <v>C555370</v>
      </c>
      <c r="Q35" s="28">
        <f>DATEN!N11</f>
        <v>850</v>
      </c>
      <c r="R35" s="28">
        <f>DATEN!O11</f>
        <v>1000</v>
      </c>
      <c r="S35" s="27" t="str">
        <f>IF(AND($G$32&gt;=U35,$G$32&lt;V35),T35,"")</f>
        <v/>
      </c>
      <c r="T35" s="28" t="str">
        <f t="shared" si="6"/>
        <v>C555370</v>
      </c>
      <c r="U35" s="28">
        <f t="shared" si="5"/>
        <v>850</v>
      </c>
      <c r="V35" s="28">
        <f t="shared" si="5"/>
        <v>1000</v>
      </c>
      <c r="W35">
        <v>5</v>
      </c>
      <c r="X35" s="29">
        <f t="shared" si="7"/>
        <v>0</v>
      </c>
    </row>
    <row r="36" spans="1:24" x14ac:dyDescent="0.2">
      <c r="A36" t="s">
        <v>31</v>
      </c>
      <c r="F36" s="26">
        <f>F17+50</f>
        <v>50</v>
      </c>
      <c r="G36"/>
      <c r="H36" t="s">
        <v>206</v>
      </c>
      <c r="I36"/>
      <c r="O36" s="27" t="str">
        <f t="shared" si="0"/>
        <v/>
      </c>
      <c r="P36" s="28" t="str">
        <f>DATEN!M12</f>
        <v>C555371</v>
      </c>
      <c r="Q36" s="28">
        <f>DATEN!N12</f>
        <v>1000</v>
      </c>
      <c r="R36" s="28">
        <f>DATEN!O12</f>
        <v>1150</v>
      </c>
      <c r="S36" s="27" t="str">
        <f t="shared" si="1"/>
        <v/>
      </c>
      <c r="T36" s="28" t="str">
        <f t="shared" si="6"/>
        <v>C555371</v>
      </c>
      <c r="U36" s="28">
        <f t="shared" si="5"/>
        <v>1000</v>
      </c>
      <c r="V36" s="28">
        <f t="shared" si="5"/>
        <v>1150</v>
      </c>
      <c r="W36">
        <v>6</v>
      </c>
      <c r="X36" s="29">
        <f t="shared" si="7"/>
        <v>0</v>
      </c>
    </row>
    <row r="37" spans="1:24" x14ac:dyDescent="0.2">
      <c r="A37" t="s">
        <v>33</v>
      </c>
      <c r="F37" s="26">
        <f>F17+H17-DATEN!$D$13</f>
        <v>-50</v>
      </c>
      <c r="H37" t="s">
        <v>36</v>
      </c>
      <c r="I37"/>
      <c r="J37" s="9">
        <f>X28+1</f>
        <v>0</v>
      </c>
      <c r="O37" s="27" t="str">
        <f t="shared" si="0"/>
        <v/>
      </c>
      <c r="P37" s="28" t="str">
        <f>DATEN!M13</f>
        <v>C555372</v>
      </c>
      <c r="Q37" s="28">
        <f>DATEN!N13</f>
        <v>1150</v>
      </c>
      <c r="R37" s="28">
        <f>DATEN!O13</f>
        <v>1300</v>
      </c>
      <c r="S37" s="27" t="str">
        <f t="shared" si="1"/>
        <v/>
      </c>
      <c r="T37" s="28" t="str">
        <f t="shared" si="6"/>
        <v>C555372</v>
      </c>
      <c r="U37" s="28">
        <f t="shared" si="5"/>
        <v>1150</v>
      </c>
      <c r="V37" s="28">
        <f t="shared" si="5"/>
        <v>1300</v>
      </c>
      <c r="W37">
        <v>7</v>
      </c>
      <c r="X37" s="29">
        <f t="shared" si="7"/>
        <v>0</v>
      </c>
    </row>
    <row r="38" spans="1:24" x14ac:dyDescent="0.2">
      <c r="A38" s="33" t="s">
        <v>35</v>
      </c>
      <c r="F38" s="123" t="str">
        <f>X31&amp;IF(X32="",""," / ")&amp;X32  &amp; IF(X33="",""," / ")&amp;X33&amp; IF(X34="",""," / ")&amp;X34&amp; IF(X35="",""," / ")&amp;X35&amp; IF(X36="",""," / ")&amp;X36&amp; IF(X37="",""," / ")&amp;X37&amp; IF(X38="",""," / ")&amp;X38&amp; IF(X39="",""," / ")&amp;X39&amp; IF(X40="",""," / ")&amp;X40</f>
        <v>50 / 0 / 0 / 0 / 0 / 0 / 0 / 0 / 0 / 0</v>
      </c>
      <c r="O38" s="27" t="str">
        <f t="shared" si="0"/>
        <v/>
      </c>
      <c r="P38" s="28" t="str">
        <f>DATEN!M14</f>
        <v>C555373</v>
      </c>
      <c r="Q38" s="28">
        <f>DATEN!N14</f>
        <v>1300</v>
      </c>
      <c r="R38" s="28">
        <f>DATEN!O14</f>
        <v>1450</v>
      </c>
      <c r="S38" s="27" t="str">
        <f t="shared" si="1"/>
        <v/>
      </c>
      <c r="T38" s="28" t="str">
        <f t="shared" si="6"/>
        <v>C555373</v>
      </c>
      <c r="U38" s="28">
        <f t="shared" si="5"/>
        <v>1300</v>
      </c>
      <c r="V38" s="28">
        <f t="shared" si="5"/>
        <v>1450</v>
      </c>
      <c r="W38">
        <v>8</v>
      </c>
      <c r="X38" s="29">
        <f t="shared" si="7"/>
        <v>0</v>
      </c>
    </row>
    <row r="39" spans="1:24" x14ac:dyDescent="0.2">
      <c r="F39" s="9"/>
      <c r="G39"/>
      <c r="H39"/>
      <c r="I39"/>
      <c r="O39" s="27" t="str">
        <f t="shared" si="0"/>
        <v/>
      </c>
      <c r="P39" s="28" t="str">
        <f>DATEN!M15</f>
        <v>Zu Lang</v>
      </c>
      <c r="Q39" s="28">
        <f>DATEN!N15</f>
        <v>1450.1</v>
      </c>
      <c r="R39" s="28">
        <f>DATEN!O15</f>
        <v>1000000</v>
      </c>
      <c r="S39" s="27" t="str">
        <f t="shared" si="1"/>
        <v/>
      </c>
      <c r="T39" s="28" t="str">
        <f t="shared" si="6"/>
        <v>Zu Lang</v>
      </c>
      <c r="U39" s="28">
        <f t="shared" si="5"/>
        <v>1450.1</v>
      </c>
      <c r="V39" s="28">
        <f t="shared" si="5"/>
        <v>1000000</v>
      </c>
      <c r="W39">
        <v>9</v>
      </c>
      <c r="X39" s="29">
        <f t="shared" si="7"/>
        <v>0</v>
      </c>
    </row>
    <row r="40" spans="1:24" ht="15" x14ac:dyDescent="0.25">
      <c r="A40" s="267" t="s">
        <v>39</v>
      </c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W40">
        <v>10</v>
      </c>
      <c r="X40" s="29">
        <f t="shared" si="7"/>
        <v>0</v>
      </c>
    </row>
    <row r="41" spans="1:24" x14ac:dyDescent="0.2">
      <c r="A41" t="s">
        <v>41</v>
      </c>
      <c r="F41" s="26">
        <f>G17-15</f>
        <v>-15</v>
      </c>
      <c r="G41"/>
      <c r="H41"/>
      <c r="I41"/>
    </row>
    <row r="42" spans="1:24" x14ac:dyDescent="0.2">
      <c r="A42" t="s">
        <v>42</v>
      </c>
      <c r="F42" s="26">
        <f>E17-G17+15</f>
        <v>15</v>
      </c>
      <c r="G42"/>
      <c r="H42"/>
      <c r="I42"/>
    </row>
    <row r="43" spans="1:24" x14ac:dyDescent="0.2">
      <c r="A43" t="s">
        <v>43</v>
      </c>
      <c r="F43" s="26">
        <f>G17-35</f>
        <v>-35</v>
      </c>
      <c r="G43"/>
      <c r="H43"/>
      <c r="I43"/>
    </row>
    <row r="44" spans="1:24" x14ac:dyDescent="0.2">
      <c r="A44" t="s">
        <v>44</v>
      </c>
      <c r="F44" s="26">
        <f>E17-G17+35</f>
        <v>35</v>
      </c>
      <c r="G44"/>
      <c r="H44"/>
      <c r="I44"/>
    </row>
    <row r="45" spans="1:24" x14ac:dyDescent="0.2">
      <c r="A45" t="s">
        <v>45</v>
      </c>
      <c r="F45" s="26">
        <f>F17-23</f>
        <v>-23</v>
      </c>
      <c r="G45"/>
      <c r="H45"/>
      <c r="I45"/>
    </row>
    <row r="46" spans="1:24" x14ac:dyDescent="0.2">
      <c r="A46" t="s">
        <v>46</v>
      </c>
      <c r="F46" s="26">
        <f>E17-G17+23</f>
        <v>23</v>
      </c>
      <c r="G46"/>
      <c r="H46"/>
      <c r="I46"/>
    </row>
    <row r="47" spans="1:24" x14ac:dyDescent="0.2">
      <c r="F47" s="9"/>
      <c r="G47"/>
      <c r="H47"/>
      <c r="I47"/>
      <c r="P47" s="9"/>
    </row>
    <row r="48" spans="1:24" ht="15" x14ac:dyDescent="0.25">
      <c r="A48" s="34" t="s">
        <v>47</v>
      </c>
      <c r="B48" s="35"/>
      <c r="C48" s="35"/>
      <c r="D48" s="35"/>
      <c r="E48" s="35"/>
      <c r="F48" s="35" t="s">
        <v>48</v>
      </c>
      <c r="G48" s="35"/>
      <c r="H48" s="35"/>
      <c r="I48" s="35"/>
      <c r="J48" s="35"/>
      <c r="K48" s="35"/>
      <c r="L48" s="35"/>
    </row>
    <row r="49" spans="1:14" x14ac:dyDescent="0.2">
      <c r="A49" t="s">
        <v>49</v>
      </c>
      <c r="F49" s="26">
        <v>25</v>
      </c>
      <c r="G49"/>
      <c r="H49"/>
      <c r="I49"/>
    </row>
    <row r="50" spans="1:14" x14ac:dyDescent="0.2">
      <c r="A50" t="s">
        <v>33</v>
      </c>
      <c r="F50" s="26">
        <f>F28-25</f>
        <v>-67</v>
      </c>
      <c r="G50"/>
      <c r="H50"/>
      <c r="I50"/>
    </row>
    <row r="51" spans="1:14" x14ac:dyDescent="0.2">
      <c r="A51" s="33" t="s">
        <v>35</v>
      </c>
      <c r="F51" s="36" t="s">
        <v>50</v>
      </c>
      <c r="G51"/>
      <c r="H51"/>
      <c r="I51" t="s">
        <v>36</v>
      </c>
    </row>
    <row r="52" spans="1:14" x14ac:dyDescent="0.2">
      <c r="F52" s="129" t="str">
        <f>IF(B17=2,"Achtung!! 2 Flüglig!! Mittleres Loch auslassen","")</f>
        <v/>
      </c>
      <c r="G52"/>
      <c r="H52"/>
      <c r="I52"/>
    </row>
    <row r="53" spans="1:14" ht="15" x14ac:dyDescent="0.25">
      <c r="A53" s="267" t="s">
        <v>51</v>
      </c>
      <c r="B53" s="267"/>
      <c r="C53" s="267"/>
      <c r="D53" s="267"/>
      <c r="E53" s="267"/>
      <c r="F53" s="267"/>
      <c r="G53" s="267"/>
      <c r="H53" s="267"/>
      <c r="I53" s="267"/>
      <c r="J53" s="267"/>
      <c r="K53" s="267"/>
      <c r="L53" s="267"/>
    </row>
    <row r="54" spans="1:14" x14ac:dyDescent="0.2">
      <c r="A54" s="35" t="s">
        <v>52</v>
      </c>
      <c r="B54" s="37" t="s">
        <v>53</v>
      </c>
      <c r="C54" s="37"/>
      <c r="D54" s="206" t="s">
        <v>54</v>
      </c>
      <c r="E54" s="206"/>
      <c r="F54" s="35" t="s">
        <v>55</v>
      </c>
      <c r="G54" s="35"/>
      <c r="H54" s="35"/>
      <c r="I54" s="35"/>
      <c r="J54" s="35"/>
      <c r="K54" s="266" t="s">
        <v>13</v>
      </c>
      <c r="L54" s="266"/>
    </row>
    <row r="55" spans="1:14" x14ac:dyDescent="0.2">
      <c r="A55" s="12">
        <v>1</v>
      </c>
      <c r="B55" s="9">
        <f>VLOOKUP(A17,'Bestellung Commande'!A27:O65,11,FALSE)</f>
        <v>0</v>
      </c>
      <c r="C55" s="9"/>
      <c r="D55" s="252">
        <f>IF(ISERROR(VLOOKUP($B55,DATEN!$A$3:$D$10,2,FALSE)),"",VLOOKUP($B55,DATEN!$A$3:$D$10,2,FALSE))</f>
        <v>0</v>
      </c>
      <c r="E55" s="252"/>
      <c r="F55" s="12">
        <f>IF(ISERROR(VLOOKUP($B55,DATEN!$A$3:$D$10,3,FALSE)),"",VLOOKUP($B55,DATEN!$A$3:$D$10,3,FALSE))</f>
        <v>0</v>
      </c>
      <c r="G55"/>
      <c r="H55"/>
      <c r="K55" s="265">
        <f>$F$22</f>
        <v>0</v>
      </c>
      <c r="L55" s="265"/>
    </row>
    <row r="56" spans="1:14" x14ac:dyDescent="0.2">
      <c r="A56" s="12">
        <v>2</v>
      </c>
      <c r="B56" s="9">
        <f>VLOOKUP(A17,'Bestellung Commande'!A27:O65,12,FALSE)</f>
        <v>0</v>
      </c>
      <c r="C56" s="9"/>
      <c r="D56" s="252">
        <f>IF(ISERROR(VLOOKUP($B56,DATEN!$A$3:$D$10,2,FALSE)),"",VLOOKUP($B56,DATEN!$A$3:$D$10,2,FALSE))</f>
        <v>0</v>
      </c>
      <c r="E56" s="252"/>
      <c r="F56" s="9">
        <f>IF(ISERROR(VLOOKUP($B56,DATEN!$A$3:$D$10,3,FALSE)),"",VLOOKUP($B56,DATEN!$A$3:$D$10,3,FALSE))</f>
        <v>0</v>
      </c>
      <c r="G56"/>
      <c r="H56"/>
      <c r="K56" s="265">
        <f t="shared" ref="K56:K58" si="8">$F$22</f>
        <v>0</v>
      </c>
      <c r="L56" s="265"/>
    </row>
    <row r="57" spans="1:14" x14ac:dyDescent="0.2">
      <c r="A57" s="12">
        <v>3</v>
      </c>
      <c r="B57" s="9">
        <f>VLOOKUP(A17,'Bestellung Commande'!A27:O65,13,FALSE)</f>
        <v>0</v>
      </c>
      <c r="C57" s="9"/>
      <c r="D57" s="252">
        <f>IF(ISERROR(VLOOKUP($B57,DATEN!$A$3:$D$10,2,FALSE)),"",VLOOKUP($B57,DATEN!$A$3:$D$10,2,FALSE))</f>
        <v>0</v>
      </c>
      <c r="E57" s="252"/>
      <c r="F57" s="9">
        <f>IF(ISERROR(VLOOKUP($B57,DATEN!$A$3:$D$10,3,FALSE)),"",VLOOKUP($B57,DATEN!$A$3:$D$10,3,FALSE))</f>
        <v>0</v>
      </c>
      <c r="K57" s="265">
        <f t="shared" si="8"/>
        <v>0</v>
      </c>
      <c r="L57" s="265"/>
    </row>
    <row r="58" spans="1:14" x14ac:dyDescent="0.2">
      <c r="A58" s="12">
        <v>4</v>
      </c>
      <c r="B58" s="9">
        <f>VLOOKUP(A17,'Bestellung Commande'!A27:O65,14,FALSE)</f>
        <v>0</v>
      </c>
      <c r="C58" s="9"/>
      <c r="D58" s="252">
        <f>IF(ISERROR(VLOOKUP($B58,DATEN!$A$3:$D$10,2,FALSE)),"",VLOOKUP($B58,DATEN!$A$3:$D$10,2,FALSE))</f>
        <v>0</v>
      </c>
      <c r="E58" s="252"/>
      <c r="F58" s="9">
        <f>IF(ISERROR(VLOOKUP($B58,DATEN!$A$3:$D$10,3,FALSE)),"",VLOOKUP($B58,DATEN!$A$3:$D$10,3,FALSE))</f>
        <v>0</v>
      </c>
      <c r="K58" s="265">
        <f t="shared" si="8"/>
        <v>0</v>
      </c>
      <c r="L58" s="265"/>
      <c r="N58" s="46">
        <f>'Bestellung Commande'!B44</f>
        <v>0</v>
      </c>
    </row>
  </sheetData>
  <sheetProtection algorithmName="SHA-512" hashValue="D8K8e8AUX90rSizygC4MCbnLo4i7nb8QjxqW4fjcUA+ZDT+B5QLT3LSgYdStHNhmZE5089Fvu+kqXrsN0Qp6BQ==" saltValue="3j3E6BEh8rn2UQelFDaX8A==" spinCount="100000" sheet="1" objects="1" scenarios="1"/>
  <mergeCells count="52">
    <mergeCell ref="D57:E57"/>
    <mergeCell ref="K57:L57"/>
    <mergeCell ref="D58:E58"/>
    <mergeCell ref="K58:L58"/>
    <mergeCell ref="A53:L53"/>
    <mergeCell ref="D54:E54"/>
    <mergeCell ref="K54:L54"/>
    <mergeCell ref="D55:E55"/>
    <mergeCell ref="K55:L55"/>
    <mergeCell ref="D56:E56"/>
    <mergeCell ref="K56:L56"/>
    <mergeCell ref="A40:L40"/>
    <mergeCell ref="A13:B13"/>
    <mergeCell ref="D13:F13"/>
    <mergeCell ref="A14:B14"/>
    <mergeCell ref="D14:F14"/>
    <mergeCell ref="B16:C16"/>
    <mergeCell ref="I16:L16"/>
    <mergeCell ref="B17:C17"/>
    <mergeCell ref="A20:N20"/>
    <mergeCell ref="A24:N24"/>
    <mergeCell ref="A29:N29"/>
    <mergeCell ref="A34:N34"/>
    <mergeCell ref="A10:B10"/>
    <mergeCell ref="D10:F10"/>
    <mergeCell ref="G10:N11"/>
    <mergeCell ref="A11:F11"/>
    <mergeCell ref="A12:B12"/>
    <mergeCell ref="D12:F12"/>
    <mergeCell ref="A6:B6"/>
    <mergeCell ref="D6:F6"/>
    <mergeCell ref="G6:N6"/>
    <mergeCell ref="A7:F7"/>
    <mergeCell ref="G7:N9"/>
    <mergeCell ref="A8:B8"/>
    <mergeCell ref="D8:F8"/>
    <mergeCell ref="A9:B9"/>
    <mergeCell ref="D9:F9"/>
    <mergeCell ref="D4:F4"/>
    <mergeCell ref="G4:J4"/>
    <mergeCell ref="K4:N4"/>
    <mergeCell ref="A5:B5"/>
    <mergeCell ref="D5:F5"/>
    <mergeCell ref="G5:J5"/>
    <mergeCell ref="K5:N5"/>
    <mergeCell ref="A1:N1"/>
    <mergeCell ref="A2:F2"/>
    <mergeCell ref="G2:N2"/>
    <mergeCell ref="A3:B3"/>
    <mergeCell ref="D3:F3"/>
    <mergeCell ref="G3:J3"/>
    <mergeCell ref="K3:N3"/>
  </mergeCells>
  <printOptions horizontalCentered="1"/>
  <pageMargins left="0.27" right="0.31" top="0.74803149606299213" bottom="0.74803149606299213" header="0.31496062992125984" footer="0.31496062992125984"/>
  <pageSetup paperSize="9" scale="87" orientation="portrait" r:id="rId1"/>
  <headerFooter>
    <oddHeader>&amp;R&amp;G</oddHeader>
    <oddFooter>&amp;LDuckdatum: &amp;D
&amp;F&amp;R&amp;P/&amp;N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F1C611B5-4BAB-434A-A8E2-D2657CB62DAA}">
          <x14:formula1>
            <xm:f>DATEN!$I$1:$J$1</xm:f>
          </x14:formula1>
          <xm:sqref>K3:N3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99A04-1EA0-47D0-8A75-86803152E313}">
  <sheetPr codeName="Tabelle15"/>
  <dimension ref="A1:X58"/>
  <sheetViews>
    <sheetView view="pageBreakPreview" topLeftCell="A3" zoomScaleNormal="120" zoomScaleSheetLayoutView="100" workbookViewId="0">
      <selection activeCell="A12" sqref="A12:B12"/>
    </sheetView>
  </sheetViews>
  <sheetFormatPr baseColWidth="10" defaultColWidth="11" defaultRowHeight="14.25" x14ac:dyDescent="0.2"/>
  <cols>
    <col min="1" max="3" width="8.875" customWidth="1"/>
    <col min="4" max="5" width="6.5" customWidth="1"/>
    <col min="6" max="6" width="10.625" customWidth="1"/>
    <col min="7" max="7" width="8.75" style="9" customWidth="1"/>
    <col min="8" max="8" width="8.875" style="9" customWidth="1"/>
    <col min="9" max="9" width="4.875" style="9" customWidth="1"/>
    <col min="10" max="10" width="8.75" customWidth="1"/>
    <col min="11" max="11" width="4.5" style="9" customWidth="1"/>
    <col min="12" max="13" width="4.5" customWidth="1"/>
    <col min="14" max="14" width="4.5" style="9" customWidth="1"/>
  </cols>
  <sheetData>
    <row r="1" spans="1:18" ht="23.25" x14ac:dyDescent="0.2">
      <c r="A1" s="238" t="s">
        <v>9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1:18" ht="15" x14ac:dyDescent="0.25">
      <c r="A2" s="253" t="s">
        <v>0</v>
      </c>
      <c r="B2" s="254"/>
      <c r="C2" s="254"/>
      <c r="D2" s="254"/>
      <c r="E2" s="254"/>
      <c r="F2" s="255"/>
      <c r="G2" s="161" t="s">
        <v>1</v>
      </c>
      <c r="H2" s="162"/>
      <c r="I2" s="162"/>
      <c r="J2" s="162"/>
      <c r="K2" s="162"/>
      <c r="L2" s="162"/>
      <c r="M2" s="162"/>
      <c r="N2" s="162"/>
    </row>
    <row r="3" spans="1:18" ht="15" x14ac:dyDescent="0.25">
      <c r="A3" s="165" t="str">
        <f>VLOOKUP(DATEN!I2,DATEN!$I$1:$J$39,IF($K$3="Deutsch", 1, 2),FALSE)</f>
        <v>Kunde Name:</v>
      </c>
      <c r="B3" s="167"/>
      <c r="C3" s="11"/>
      <c r="D3" s="212">
        <f>'Bestellung Commande'!C2</f>
        <v>0</v>
      </c>
      <c r="E3" s="212"/>
      <c r="F3" s="212"/>
      <c r="G3" s="256" t="s">
        <v>2</v>
      </c>
      <c r="H3" s="257"/>
      <c r="I3" s="257"/>
      <c r="J3" s="258"/>
      <c r="K3" s="259" t="s">
        <v>3</v>
      </c>
      <c r="L3" s="260"/>
      <c r="M3" s="260"/>
      <c r="N3" s="261"/>
    </row>
    <row r="4" spans="1:18" ht="15" x14ac:dyDescent="0.25">
      <c r="A4" s="10" t="str">
        <f>VLOOKUP(DATEN!I3,DATEN!$I$1:$J$39,IF($K$3="Deutsch", 1, 2),FALSE)</f>
        <v>Kontaktperson:</v>
      </c>
      <c r="B4" s="11"/>
      <c r="C4" s="11"/>
      <c r="D4" s="212">
        <f>'Bestellung Commande'!C3</f>
        <v>0</v>
      </c>
      <c r="E4" s="212"/>
      <c r="F4" s="212"/>
      <c r="G4" s="256" t="str">
        <f>VLOOKUP(DATEN!I9,DATEN!$I$1:$J$39,IF($K$3="Deutsch", 1, 2),FALSE)</f>
        <v>Bestelldatum:</v>
      </c>
      <c r="H4" s="257"/>
      <c r="I4" s="257"/>
      <c r="J4" s="258"/>
      <c r="K4" s="263">
        <f>'Bestellung Commande'!L3</f>
        <v>0</v>
      </c>
      <c r="L4" s="260"/>
      <c r="M4" s="260"/>
      <c r="N4" s="261"/>
    </row>
    <row r="5" spans="1:18" ht="15" x14ac:dyDescent="0.25">
      <c r="A5" s="165" t="str">
        <f>VLOOKUP(DATEN!I4,DATEN!$I$1:$J$39,IF($K$3="Deutsch", 1, 2),FALSE)</f>
        <v>Kommision:</v>
      </c>
      <c r="B5" s="167"/>
      <c r="C5" s="11"/>
      <c r="D5" s="212">
        <f>'Bestellung Commande'!C4</f>
        <v>0</v>
      </c>
      <c r="E5" s="212"/>
      <c r="F5" s="212"/>
      <c r="G5" s="256" t="str">
        <f>VLOOKUP(DATEN!I10,DATEN!$I$1:$J$39,IF($K$3="Deutsch", 1, 2),FALSE)</f>
        <v>Wunsch Liefertermin:</v>
      </c>
      <c r="H5" s="257"/>
      <c r="I5" s="257"/>
      <c r="J5" s="258"/>
      <c r="K5" s="263">
        <f>'Bestellung Commande'!L4</f>
        <v>0</v>
      </c>
      <c r="L5" s="260"/>
      <c r="M5" s="260"/>
      <c r="N5" s="261"/>
    </row>
    <row r="6" spans="1:18" ht="15" x14ac:dyDescent="0.25">
      <c r="A6" s="165" t="str">
        <f>VLOOKUP(DATEN!I5,DATEN!$I$1:$J$39,IF($K$3="Deutsch", 1, 2),FALSE)</f>
        <v>Kontakt Telefon:</v>
      </c>
      <c r="B6" s="167"/>
      <c r="C6" s="11"/>
      <c r="D6" s="212">
        <f>'Bestellung Commande'!C5</f>
        <v>0</v>
      </c>
      <c r="E6" s="212"/>
      <c r="F6" s="212"/>
      <c r="G6" s="163" t="str">
        <f>VLOOKUP(DATEN!I11,DATEN!$I$1:$J$39,IF($K$3="Deutsch", 1, 2),FALSE)</f>
        <v>Bemerkung:</v>
      </c>
      <c r="H6" s="164"/>
      <c r="I6" s="164"/>
      <c r="J6" s="164"/>
      <c r="K6" s="164"/>
      <c r="L6" s="164"/>
      <c r="M6" s="164"/>
      <c r="N6" s="164"/>
    </row>
    <row r="7" spans="1:18" ht="15" x14ac:dyDescent="0.25">
      <c r="A7" s="264" t="s">
        <v>4</v>
      </c>
      <c r="B7" s="264"/>
      <c r="C7" s="264"/>
      <c r="D7" s="264"/>
      <c r="E7" s="264"/>
      <c r="F7" s="264"/>
      <c r="G7" s="225" t="str">
        <f>VLOOKUP(DATEN!I11,DATEN!$I$1:$J$39,IF($K$3="Deutsch", 1, 2),FALSE)</f>
        <v>Bemerkung:</v>
      </c>
      <c r="H7" s="225"/>
      <c r="I7" s="225"/>
      <c r="J7" s="225"/>
      <c r="K7" s="225"/>
      <c r="L7" s="225"/>
      <c r="M7" s="225"/>
      <c r="N7" s="225"/>
    </row>
    <row r="8" spans="1:18" ht="15" x14ac:dyDescent="0.25">
      <c r="A8" s="165" t="str">
        <f>VLOOKUP(DATEN!I6,DATEN!$I$1:$J$39,IF($K$3="Deutsch", 1, 2),FALSE)</f>
        <v>Strasse:</v>
      </c>
      <c r="B8" s="167"/>
      <c r="C8" s="11"/>
      <c r="D8" s="212">
        <f>'Bestellung Commande'!C8</f>
        <v>0</v>
      </c>
      <c r="E8" s="212"/>
      <c r="F8" s="212"/>
      <c r="G8" s="225"/>
      <c r="H8" s="225"/>
      <c r="I8" s="225"/>
      <c r="J8" s="225"/>
      <c r="K8" s="225"/>
      <c r="L8" s="225"/>
      <c r="M8" s="225"/>
      <c r="N8" s="225"/>
    </row>
    <row r="9" spans="1:18" ht="15" x14ac:dyDescent="0.25">
      <c r="A9" s="165" t="str">
        <f>VLOOKUP(DATEN!I7,DATEN!$I$1:$J$39,IF($K$3="Deutsch", 1, 2),FALSE)</f>
        <v>PLZ Ort:</v>
      </c>
      <c r="B9" s="167"/>
      <c r="C9" s="11"/>
      <c r="D9" s="212">
        <f>'Bestellung Commande'!C9</f>
        <v>0</v>
      </c>
      <c r="E9" s="212"/>
      <c r="F9" s="212"/>
      <c r="G9" s="225"/>
      <c r="H9" s="225"/>
      <c r="I9" s="225"/>
      <c r="J9" s="225"/>
      <c r="K9" s="225"/>
      <c r="L9" s="225"/>
      <c r="M9" s="225"/>
      <c r="N9" s="225"/>
    </row>
    <row r="10" spans="1:18" ht="15" customHeight="1" x14ac:dyDescent="0.25">
      <c r="A10" s="165" t="str">
        <f>VLOOKUP(DATEN!I8,DATEN!$I$1:$J$39,IF($K$3="Deutsch", 1, 2),FALSE)</f>
        <v>Kontakt:</v>
      </c>
      <c r="B10" s="167"/>
      <c r="C10" s="11"/>
      <c r="D10" s="212">
        <f>'Bestellung Commande'!C10</f>
        <v>0</v>
      </c>
      <c r="E10" s="212"/>
      <c r="F10" s="212"/>
      <c r="G10" s="262" t="str">
        <f>IF(VLOOKUP($A$17,'Bestellung Commande'!$A$27:$O$65,10,FALSE)&lt;&gt;"","Sonderbau!!!","")</f>
        <v/>
      </c>
      <c r="H10" s="262"/>
      <c r="I10" s="262"/>
      <c r="J10" s="262"/>
      <c r="K10" s="262"/>
      <c r="L10" s="262"/>
      <c r="M10" s="262"/>
      <c r="N10" s="262"/>
    </row>
    <row r="11" spans="1:18" ht="15" customHeight="1" x14ac:dyDescent="0.25">
      <c r="A11" s="264" t="s">
        <v>5</v>
      </c>
      <c r="B11" s="264"/>
      <c r="C11" s="264"/>
      <c r="D11" s="264"/>
      <c r="E11" s="264"/>
      <c r="F11" s="264"/>
      <c r="G11" s="262"/>
      <c r="H11" s="262"/>
      <c r="I11" s="262"/>
      <c r="J11" s="262"/>
      <c r="K11" s="262"/>
      <c r="L11" s="262"/>
      <c r="M11" s="262"/>
      <c r="N11" s="262"/>
    </row>
    <row r="12" spans="1:18" ht="15" customHeight="1" x14ac:dyDescent="0.4">
      <c r="A12" s="165" t="str">
        <f>VLOOKUP(DATEN!I6,DATEN!$I$1:$J$39,IF($K$3="Deutsch", 1, 2),FALSE)</f>
        <v>Strasse:</v>
      </c>
      <c r="B12" s="167"/>
      <c r="C12" s="11"/>
      <c r="D12" s="212">
        <f>'Bestellung Commande'!C12</f>
        <v>0</v>
      </c>
      <c r="E12" s="212"/>
      <c r="F12" s="212"/>
      <c r="G12" s="146"/>
      <c r="H12" s="146"/>
      <c r="I12" s="146"/>
      <c r="J12" s="146"/>
      <c r="K12" s="146"/>
      <c r="L12" s="146"/>
      <c r="M12" s="146"/>
      <c r="N12" s="146"/>
    </row>
    <row r="13" spans="1:18" ht="15" customHeight="1" x14ac:dyDescent="0.4">
      <c r="A13" s="165" t="str">
        <f>VLOOKUP(DATEN!I7,DATEN!$I$1:$J$39,IF($K$3="Deutsch", 1, 2),FALSE)</f>
        <v>PLZ Ort:</v>
      </c>
      <c r="B13" s="167"/>
      <c r="C13" s="11"/>
      <c r="D13" s="212">
        <f>'Bestellung Commande'!C13</f>
        <v>0</v>
      </c>
      <c r="E13" s="212"/>
      <c r="F13" s="212"/>
      <c r="G13" s="146"/>
      <c r="H13" s="146"/>
      <c r="I13" s="146"/>
      <c r="J13" s="146"/>
      <c r="K13" s="146"/>
      <c r="L13" s="146"/>
      <c r="M13" s="146"/>
      <c r="N13" s="146"/>
    </row>
    <row r="14" spans="1:18" ht="15" customHeight="1" x14ac:dyDescent="0.4">
      <c r="A14" s="165" t="str">
        <f>VLOOKUP(DATEN!I8,DATEN!$I$1:$J$39,IF($K$3="Deutsch", 1, 2),FALSE)</f>
        <v>Kontakt:</v>
      </c>
      <c r="B14" s="167"/>
      <c r="C14" s="11"/>
      <c r="D14" s="212">
        <f>'Bestellung Commande'!C14</f>
        <v>0</v>
      </c>
      <c r="E14" s="212"/>
      <c r="F14" s="212"/>
      <c r="G14" s="146"/>
      <c r="H14" s="146"/>
      <c r="I14" s="146"/>
      <c r="J14" s="146"/>
      <c r="K14" s="146"/>
      <c r="L14" s="146"/>
      <c r="M14" s="146"/>
      <c r="N14" s="146"/>
    </row>
    <row r="15" spans="1:18" ht="15.75" thickBot="1" x14ac:dyDescent="0.3">
      <c r="A15" s="140" t="str">
        <f>'Bestellung Commande'!A67</f>
        <v>V9.5</v>
      </c>
      <c r="B15" s="14"/>
      <c r="C15" s="14"/>
      <c r="D15" s="15"/>
      <c r="E15" s="15"/>
      <c r="F15" s="15"/>
      <c r="G15" s="13"/>
      <c r="H15" s="13"/>
      <c r="I15" s="13"/>
      <c r="J15" s="13"/>
      <c r="K15" s="13"/>
      <c r="L15" s="13"/>
      <c r="M15" s="16">
        <f>'Bestellung Commande'!N24</f>
        <v>73</v>
      </c>
      <c r="N15" s="13"/>
      <c r="O15" s="20" t="s">
        <v>220</v>
      </c>
      <c r="P15" s="9"/>
      <c r="Q15" s="9"/>
      <c r="R15" s="9"/>
    </row>
    <row r="16" spans="1:18" s="19" customFormat="1" ht="28.5" customHeight="1" x14ac:dyDescent="0.2">
      <c r="A16" s="17" t="s">
        <v>216</v>
      </c>
      <c r="B16" s="176" t="str">
        <f>VLOOKUP(DATEN!I14,DATEN!$I$1:$J$39,IF($K$3="Deutsch", 1, 2),FALSE)</f>
        <v>Anz.
Flügel</v>
      </c>
      <c r="C16" s="176"/>
      <c r="D16" s="17" t="str">
        <f>VLOOKUP(DATEN!I15,DATEN!$I$1:$J$39,IF($K$3="Deutsch", 1, 2),FALSE)</f>
        <v>Stk Schw.</v>
      </c>
      <c r="E16" s="17" t="str">
        <f>VLOOKUP(DATEN!I16,DATEN!$I$1:$J$39,IF($K$3="Deutsch", 1, 2),FALSE)</f>
        <v>RA</v>
      </c>
      <c r="F16" s="17" t="str">
        <f>VLOOKUP(DATEN!I17,DATEN!$I$1:$J$39,IF($K$3="Deutsch", 1, 2),FALSE)</f>
        <v>RBL 
(min45)</v>
      </c>
      <c r="G16" s="17" t="str">
        <f>VLOOKUP(DATEN!I18,DATEN!$I$1:$J$39,IF($K$3="Deutsch", 1, 2),FALSE)</f>
        <v>RBR 
(min45)</v>
      </c>
      <c r="H16" s="17"/>
      <c r="I16" s="184" t="str">
        <f>VLOOKUP(DATEN!I19,DATEN!$I$1:$J$39,IF($K$3="Deutsch", 1, 2),FALSE)</f>
        <v>Verbreiterungen</v>
      </c>
      <c r="J16" s="185"/>
      <c r="K16" s="185"/>
      <c r="L16" s="185"/>
      <c r="M16" s="18" t="str">
        <f>VLOOKUP(DATEN!I20,DATEN!$I$1:$J$39,IF($K$3="Deutsch",1,2),FALSE)</f>
        <v>Total</v>
      </c>
      <c r="N16" s="17"/>
      <c r="O16" s="20" t="str">
        <f>E25</f>
        <v>Profil</v>
      </c>
      <c r="P16" s="20" t="str">
        <f>A26</f>
        <v>Links</v>
      </c>
      <c r="Q16" s="20" t="str">
        <f>A27</f>
        <v>Rechts</v>
      </c>
      <c r="R16" s="20" t="str">
        <f>A28</f>
        <v>Mittelteil</v>
      </c>
    </row>
    <row r="17" spans="1:24" ht="15" thickBot="1" x14ac:dyDescent="0.25">
      <c r="A17" s="41">
        <v>12</v>
      </c>
      <c r="B17" s="268">
        <f>VLOOKUP($A$17,'Bestellung Commande'!$A$27:$O$65,3,FALSE)</f>
        <v>0</v>
      </c>
      <c r="C17" s="268"/>
      <c r="D17" s="41">
        <f>VLOOKUP($A$17,'Bestellung Commande'!$A$27:$O$65,5,FALSE)</f>
        <v>0</v>
      </c>
      <c r="E17" s="41">
        <f>VLOOKUP($A$17,'Bestellung Commande'!$A$27:$O$65,6,FALSE)</f>
        <v>0</v>
      </c>
      <c r="F17" s="41">
        <f>VLOOKUP($A$17,'Bestellung Commande'!$A$27:$O$65,7,FALSE)</f>
        <v>0</v>
      </c>
      <c r="G17" s="41">
        <f>VLOOKUP($A$17,'Bestellung Commande'!$A$27:$O$65,8,FALSE)</f>
        <v>0</v>
      </c>
      <c r="H17" s="41">
        <f>VLOOKUP($A$17,'Bestellung Commande'!$A$27:$O$65,9,FALSE)</f>
        <v>0</v>
      </c>
      <c r="I17" s="22">
        <f>VLOOKUP($A$17,'Bestellung Commande'!$A$27:$O$65,10,FALSE)</f>
        <v>0</v>
      </c>
      <c r="J17" s="23">
        <f>VLOOKUP($A$17,'Bestellung Commande'!$A$27:$O$65,11,FALSE)</f>
        <v>0</v>
      </c>
      <c r="K17" s="23">
        <f>VLOOKUP($A$17,'Bestellung Commande'!$A$27:$O$65,12,FALSE)</f>
        <v>0</v>
      </c>
      <c r="L17" s="23">
        <f>VLOOKUP($A$17,'Bestellung Commande'!$A$27:$O$65,13,FALSE)</f>
        <v>0</v>
      </c>
      <c r="M17" s="125">
        <f>VLOOKUP($A$17,'Bestellung Commande'!$A$27:$O$65,14,FALSE)</f>
        <v>0</v>
      </c>
      <c r="N17" s="24"/>
      <c r="O17" s="9" t="str">
        <f>F25</f>
        <v>C298927</v>
      </c>
      <c r="P17" s="29">
        <f>F26</f>
        <v>20</v>
      </c>
      <c r="Q17" s="29">
        <f>F27</f>
        <v>20</v>
      </c>
      <c r="R17" s="29">
        <f>F28</f>
        <v>-42</v>
      </c>
    </row>
    <row r="18" spans="1:24" x14ac:dyDescent="0.2">
      <c r="B18" s="41" cm="1">
        <f t="array" ref="B18">INDEX('Bestellung Commande'!$C$27:$C$66, MATCH($A$17, 'Bestellung Commande'!$A$27:$A$66, 0) + 1)</f>
        <v>0</v>
      </c>
      <c r="C18" s="41" cm="1">
        <f t="array" ref="C18">INDEX('Bestellung Commande'!$D$27:$D$66, MATCH($A$17, 'Bestellung Commande'!$A$27:$A$66, 0) + 1)</f>
        <v>0</v>
      </c>
    </row>
    <row r="20" spans="1:24" ht="15" x14ac:dyDescent="0.25">
      <c r="A20" s="267" t="s">
        <v>10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</row>
    <row r="21" spans="1:24" ht="15" x14ac:dyDescent="0.25">
      <c r="E21" s="25" t="s">
        <v>11</v>
      </c>
      <c r="F21" s="9" t="s">
        <v>12</v>
      </c>
      <c r="G21"/>
      <c r="H21"/>
      <c r="I21"/>
    </row>
    <row r="22" spans="1:24" x14ac:dyDescent="0.2">
      <c r="E22" t="s">
        <v>13</v>
      </c>
      <c r="F22" s="26">
        <f>E17</f>
        <v>0</v>
      </c>
      <c r="G22"/>
      <c r="H22"/>
      <c r="I22"/>
    </row>
    <row r="23" spans="1:24" x14ac:dyDescent="0.2">
      <c r="F23" s="9">
        <f>B17</f>
        <v>0</v>
      </c>
      <c r="G23"/>
      <c r="H23"/>
      <c r="I23"/>
    </row>
    <row r="24" spans="1:24" ht="15" x14ac:dyDescent="0.25">
      <c r="A24" s="267" t="s">
        <v>14</v>
      </c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</row>
    <row r="25" spans="1:24" ht="15" x14ac:dyDescent="0.25">
      <c r="E25" s="25" t="s">
        <v>11</v>
      </c>
      <c r="F25" s="9" t="s">
        <v>15</v>
      </c>
      <c r="G25"/>
      <c r="H25"/>
      <c r="I25"/>
    </row>
    <row r="26" spans="1:24" x14ac:dyDescent="0.2">
      <c r="A26" t="s">
        <v>16</v>
      </c>
      <c r="E26" t="s">
        <v>13</v>
      </c>
      <c r="F26" s="26">
        <f>F17+20</f>
        <v>20</v>
      </c>
      <c r="G26"/>
      <c r="H26"/>
      <c r="I26"/>
      <c r="W26" s="121" t="s">
        <v>208</v>
      </c>
      <c r="X26" s="122">
        <f>F37-F36</f>
        <v>-100</v>
      </c>
    </row>
    <row r="27" spans="1:24" x14ac:dyDescent="0.2">
      <c r="A27" t="s">
        <v>17</v>
      </c>
      <c r="E27" t="s">
        <v>13</v>
      </c>
      <c r="F27" s="26">
        <f>G17+20</f>
        <v>20</v>
      </c>
      <c r="G27"/>
      <c r="H27"/>
      <c r="I27"/>
      <c r="W27" t="s">
        <v>209</v>
      </c>
      <c r="X27">
        <f>[1]DATEN!D14</f>
        <v>300</v>
      </c>
    </row>
    <row r="28" spans="1:24" x14ac:dyDescent="0.2">
      <c r="A28" t="s">
        <v>18</v>
      </c>
      <c r="E28" t="s">
        <v>13</v>
      </c>
      <c r="F28" s="26">
        <f>(E17-(F26+F27))-2</f>
        <v>-42</v>
      </c>
      <c r="G28"/>
      <c r="H28"/>
      <c r="I28"/>
      <c r="P28" t="s">
        <v>293</v>
      </c>
      <c r="T28" t="s">
        <v>294</v>
      </c>
      <c r="W28" t="s">
        <v>210</v>
      </c>
      <c r="X28">
        <f>ROUNDUP(X26/X27,0)</f>
        <v>-1</v>
      </c>
    </row>
    <row r="29" spans="1:24" ht="15" x14ac:dyDescent="0.25">
      <c r="A29" s="267" t="s">
        <v>19</v>
      </c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7" t="str">
        <f t="shared" ref="O29:O39" si="0">IF(AND($F$32&gt;=Q29,$F$32&lt;R29),P29,"")</f>
        <v/>
      </c>
      <c r="P29" s="28" t="str">
        <f>" "</f>
        <v xml:space="preserve"> </v>
      </c>
      <c r="Q29" s="28">
        <v>-1000000</v>
      </c>
      <c r="R29" s="28">
        <v>0</v>
      </c>
      <c r="S29" s="27" t="str">
        <f t="shared" ref="S29:S39" si="1">IF(AND($G$32&gt;=U29,$G$32&lt;V29),T29,"")</f>
        <v/>
      </c>
      <c r="T29" s="28" t="str">
        <f t="shared" ref="T29:T30" si="2">P29</f>
        <v xml:space="preserve"> </v>
      </c>
      <c r="U29" s="28">
        <f t="shared" ref="U29:U30" si="3">Q29</f>
        <v>-1000000</v>
      </c>
      <c r="V29" s="28">
        <f t="shared" ref="V29:V30" si="4">R29</f>
        <v>0</v>
      </c>
      <c r="W29" t="s">
        <v>211</v>
      </c>
      <c r="X29">
        <f>X26/X28</f>
        <v>100</v>
      </c>
    </row>
    <row r="30" spans="1:24" ht="15" x14ac:dyDescent="0.25">
      <c r="F30" s="25" t="s">
        <v>293</v>
      </c>
      <c r="G30" s="25" t="s">
        <v>294</v>
      </c>
      <c r="H30"/>
      <c r="I30"/>
      <c r="K30"/>
      <c r="N30"/>
      <c r="O30" s="27" t="str">
        <f t="shared" si="0"/>
        <v/>
      </c>
      <c r="P30" s="28"/>
      <c r="Q30" s="28">
        <v>0.1</v>
      </c>
      <c r="R30" s="28">
        <v>247.9</v>
      </c>
      <c r="S30" s="27" t="str">
        <f t="shared" si="1"/>
        <v/>
      </c>
      <c r="T30" s="28">
        <f t="shared" si="2"/>
        <v>0</v>
      </c>
      <c r="U30" s="28">
        <f t="shared" si="3"/>
        <v>0.1</v>
      </c>
      <c r="V30" s="28">
        <f t="shared" si="4"/>
        <v>247.9</v>
      </c>
    </row>
    <row r="31" spans="1:24" x14ac:dyDescent="0.2">
      <c r="F31" s="9" t="str">
        <f>O29&amp;O31&amp;O32&amp;O33&amp;O34&amp;O35&amp;O36&amp;O37&amp;O38&amp;O39</f>
        <v/>
      </c>
      <c r="G31" s="9" t="str">
        <f>S29&amp;S31&amp;S32&amp;S33&amp;S34&amp;S35&amp;S36&amp;S37&amp;S38&amp;S39</f>
        <v/>
      </c>
      <c r="I31"/>
      <c r="O31" s="27" t="str">
        <f t="shared" si="0"/>
        <v/>
      </c>
      <c r="P31" s="28" t="str">
        <f>DATEN!M7</f>
        <v>C555366</v>
      </c>
      <c r="Q31" s="28">
        <f>DATEN!N7</f>
        <v>275</v>
      </c>
      <c r="R31" s="28">
        <f>DATEN!O7</f>
        <v>400</v>
      </c>
      <c r="S31" s="27" t="str">
        <f t="shared" si="1"/>
        <v/>
      </c>
      <c r="T31" s="28" t="str">
        <f>P31</f>
        <v>C555366</v>
      </c>
      <c r="U31" s="28">
        <f t="shared" ref="U31:V39" si="5">Q31</f>
        <v>275</v>
      </c>
      <c r="V31" s="28">
        <f t="shared" si="5"/>
        <v>400</v>
      </c>
      <c r="W31">
        <v>1</v>
      </c>
      <c r="X31" s="29">
        <f>F36</f>
        <v>50</v>
      </c>
    </row>
    <row r="32" spans="1:24" x14ac:dyDescent="0.2">
      <c r="A32" t="s">
        <v>13</v>
      </c>
      <c r="F32" s="26" t="b">
        <f>IF(AND(B17=1,B18=0),H17,IF(AND(B17=1,B18&gt;0),B18,IF(AND(B17=2,B18=0),(H17-20)/2,IF(AND(B17=2,B18&gt;0),B18))))</f>
        <v>0</v>
      </c>
      <c r="G32" s="26">
        <f>IF(B17=1,0,IF(AND(B17=2,C18=0),0,C18))</f>
        <v>0</v>
      </c>
      <c r="I32"/>
      <c r="O32" s="27" t="str">
        <f t="shared" si="0"/>
        <v/>
      </c>
      <c r="P32" s="28" t="str">
        <f>DATEN!M8</f>
        <v>C555367</v>
      </c>
      <c r="Q32" s="28">
        <f>DATEN!N8</f>
        <v>400</v>
      </c>
      <c r="R32" s="28">
        <f>DATEN!O8</f>
        <v>550</v>
      </c>
      <c r="S32" s="27" t="str">
        <f t="shared" si="1"/>
        <v/>
      </c>
      <c r="T32" s="28" t="str">
        <f t="shared" ref="T32:T39" si="6">P32</f>
        <v>C555367</v>
      </c>
      <c r="U32" s="28">
        <f t="shared" si="5"/>
        <v>400</v>
      </c>
      <c r="V32" s="28">
        <f t="shared" si="5"/>
        <v>550</v>
      </c>
      <c r="W32">
        <v>2</v>
      </c>
      <c r="X32" s="29">
        <f>ROUND(IF(W32-1&gt;$X$28,0,X31+$X$29),0)</f>
        <v>0</v>
      </c>
    </row>
    <row r="33" spans="1:24" x14ac:dyDescent="0.2">
      <c r="A33" t="s">
        <v>23</v>
      </c>
      <c r="F33" s="30">
        <f>IF(AND(B17=2,B18=0),B17,1)*D17</f>
        <v>0</v>
      </c>
      <c r="G33" s="30">
        <f>IF(G32&gt;0,1,0)*D17</f>
        <v>0</v>
      </c>
      <c r="I33"/>
      <c r="O33" s="27" t="str">
        <f t="shared" si="0"/>
        <v/>
      </c>
      <c r="P33" s="28" t="str">
        <f>DATEN!M9</f>
        <v>C555368</v>
      </c>
      <c r="Q33" s="28">
        <f>DATEN!N9</f>
        <v>550</v>
      </c>
      <c r="R33" s="28">
        <f>DATEN!O9</f>
        <v>700</v>
      </c>
      <c r="S33" s="27" t="str">
        <f t="shared" si="1"/>
        <v/>
      </c>
      <c r="T33" s="28" t="str">
        <f t="shared" si="6"/>
        <v>C555368</v>
      </c>
      <c r="U33" s="28">
        <f t="shared" si="5"/>
        <v>550</v>
      </c>
      <c r="V33" s="28">
        <f t="shared" si="5"/>
        <v>700</v>
      </c>
      <c r="W33">
        <v>3</v>
      </c>
      <c r="X33" s="29">
        <f t="shared" ref="X33:X40" si="7">ROUND(IF(W33-1&gt;$X$28,0,X32+$X$29),0)</f>
        <v>0</v>
      </c>
    </row>
    <row r="34" spans="1:24" ht="15" x14ac:dyDescent="0.25">
      <c r="A34" s="267" t="s">
        <v>25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7" t="str">
        <f>IF(AND($F$32&gt;=Q34,$F$32&lt;R34),P34,"")</f>
        <v/>
      </c>
      <c r="P34" s="28" t="str">
        <f>DATEN!M10</f>
        <v>C555369</v>
      </c>
      <c r="Q34" s="28">
        <f>DATEN!N10</f>
        <v>700</v>
      </c>
      <c r="R34" s="28">
        <f>DATEN!O10</f>
        <v>850</v>
      </c>
      <c r="S34" s="27" t="str">
        <f t="shared" si="1"/>
        <v/>
      </c>
      <c r="T34" s="28" t="str">
        <f t="shared" si="6"/>
        <v>C555369</v>
      </c>
      <c r="U34" s="28">
        <f t="shared" si="5"/>
        <v>700</v>
      </c>
      <c r="V34" s="28">
        <f t="shared" si="5"/>
        <v>850</v>
      </c>
      <c r="W34">
        <v>4</v>
      </c>
      <c r="X34" s="29">
        <f t="shared" si="7"/>
        <v>0</v>
      </c>
    </row>
    <row r="35" spans="1:24" ht="15" x14ac:dyDescent="0.25">
      <c r="A35" s="31" t="s">
        <v>27</v>
      </c>
      <c r="F35" s="9" t="s">
        <v>28</v>
      </c>
      <c r="G35" s="32" t="s">
        <v>29</v>
      </c>
      <c r="H35" s="32"/>
      <c r="I35"/>
      <c r="O35" s="27" t="str">
        <f t="shared" si="0"/>
        <v/>
      </c>
      <c r="P35" s="28" t="str">
        <f>DATEN!M11</f>
        <v>C555370</v>
      </c>
      <c r="Q35" s="28">
        <f>DATEN!N11</f>
        <v>850</v>
      </c>
      <c r="R35" s="28">
        <f>DATEN!O11</f>
        <v>1000</v>
      </c>
      <c r="S35" s="27" t="str">
        <f>IF(AND($G$32&gt;=U35,$G$32&lt;V35),T35,"")</f>
        <v/>
      </c>
      <c r="T35" s="28" t="str">
        <f t="shared" si="6"/>
        <v>C555370</v>
      </c>
      <c r="U35" s="28">
        <f t="shared" si="5"/>
        <v>850</v>
      </c>
      <c r="V35" s="28">
        <f t="shared" si="5"/>
        <v>1000</v>
      </c>
      <c r="W35">
        <v>5</v>
      </c>
      <c r="X35" s="29">
        <f t="shared" si="7"/>
        <v>0</v>
      </c>
    </row>
    <row r="36" spans="1:24" x14ac:dyDescent="0.2">
      <c r="A36" t="s">
        <v>31</v>
      </c>
      <c r="F36" s="26">
        <f>F17+50</f>
        <v>50</v>
      </c>
      <c r="G36"/>
      <c r="H36" t="s">
        <v>206</v>
      </c>
      <c r="I36"/>
      <c r="O36" s="27" t="str">
        <f t="shared" si="0"/>
        <v/>
      </c>
      <c r="P36" s="28" t="str">
        <f>DATEN!M12</f>
        <v>C555371</v>
      </c>
      <c r="Q36" s="28">
        <f>DATEN!N12</f>
        <v>1000</v>
      </c>
      <c r="R36" s="28">
        <f>DATEN!O12</f>
        <v>1150</v>
      </c>
      <c r="S36" s="27" t="str">
        <f t="shared" si="1"/>
        <v/>
      </c>
      <c r="T36" s="28" t="str">
        <f t="shared" si="6"/>
        <v>C555371</v>
      </c>
      <c r="U36" s="28">
        <f t="shared" si="5"/>
        <v>1000</v>
      </c>
      <c r="V36" s="28">
        <f t="shared" si="5"/>
        <v>1150</v>
      </c>
      <c r="W36">
        <v>6</v>
      </c>
      <c r="X36" s="29">
        <f t="shared" si="7"/>
        <v>0</v>
      </c>
    </row>
    <row r="37" spans="1:24" x14ac:dyDescent="0.2">
      <c r="A37" t="s">
        <v>33</v>
      </c>
      <c r="F37" s="26">
        <f>F17+H17-DATEN!$D$13</f>
        <v>-50</v>
      </c>
      <c r="H37" t="s">
        <v>36</v>
      </c>
      <c r="I37"/>
      <c r="J37" s="9">
        <f>X28+1</f>
        <v>0</v>
      </c>
      <c r="O37" s="27" t="str">
        <f t="shared" si="0"/>
        <v/>
      </c>
      <c r="P37" s="28" t="str">
        <f>DATEN!M13</f>
        <v>C555372</v>
      </c>
      <c r="Q37" s="28">
        <f>DATEN!N13</f>
        <v>1150</v>
      </c>
      <c r="R37" s="28">
        <f>DATEN!O13</f>
        <v>1300</v>
      </c>
      <c r="S37" s="27" t="str">
        <f t="shared" si="1"/>
        <v/>
      </c>
      <c r="T37" s="28" t="str">
        <f t="shared" si="6"/>
        <v>C555372</v>
      </c>
      <c r="U37" s="28">
        <f t="shared" si="5"/>
        <v>1150</v>
      </c>
      <c r="V37" s="28">
        <f t="shared" si="5"/>
        <v>1300</v>
      </c>
      <c r="W37">
        <v>7</v>
      </c>
      <c r="X37" s="29">
        <f t="shared" si="7"/>
        <v>0</v>
      </c>
    </row>
    <row r="38" spans="1:24" x14ac:dyDescent="0.2">
      <c r="A38" s="33" t="s">
        <v>35</v>
      </c>
      <c r="F38" s="123" t="str">
        <f>X31&amp;IF(X32="",""," / ")&amp;X32  &amp; IF(X33="",""," / ")&amp;X33&amp; IF(X34="",""," / ")&amp;X34&amp; IF(X35="",""," / ")&amp;X35&amp; IF(X36="",""," / ")&amp;X36&amp; IF(X37="",""," / ")&amp;X37&amp; IF(X38="",""," / ")&amp;X38&amp; IF(X39="",""," / ")&amp;X39&amp; IF(X40="",""," / ")&amp;X40</f>
        <v>50 / 0 / 0 / 0 / 0 / 0 / 0 / 0 / 0 / 0</v>
      </c>
      <c r="O38" s="27" t="str">
        <f t="shared" si="0"/>
        <v/>
      </c>
      <c r="P38" s="28" t="str">
        <f>DATEN!M14</f>
        <v>C555373</v>
      </c>
      <c r="Q38" s="28">
        <f>DATEN!N14</f>
        <v>1300</v>
      </c>
      <c r="R38" s="28">
        <f>DATEN!O14</f>
        <v>1450</v>
      </c>
      <c r="S38" s="27" t="str">
        <f t="shared" si="1"/>
        <v/>
      </c>
      <c r="T38" s="28" t="str">
        <f t="shared" si="6"/>
        <v>C555373</v>
      </c>
      <c r="U38" s="28">
        <f t="shared" si="5"/>
        <v>1300</v>
      </c>
      <c r="V38" s="28">
        <f t="shared" si="5"/>
        <v>1450</v>
      </c>
      <c r="W38">
        <v>8</v>
      </c>
      <c r="X38" s="29">
        <f t="shared" si="7"/>
        <v>0</v>
      </c>
    </row>
    <row r="39" spans="1:24" x14ac:dyDescent="0.2">
      <c r="F39" s="9"/>
      <c r="G39"/>
      <c r="H39"/>
      <c r="I39"/>
      <c r="O39" s="27" t="str">
        <f t="shared" si="0"/>
        <v/>
      </c>
      <c r="P39" s="28" t="str">
        <f>DATEN!M15</f>
        <v>Zu Lang</v>
      </c>
      <c r="Q39" s="28">
        <f>DATEN!N15</f>
        <v>1450.1</v>
      </c>
      <c r="R39" s="28">
        <f>DATEN!O15</f>
        <v>1000000</v>
      </c>
      <c r="S39" s="27" t="str">
        <f t="shared" si="1"/>
        <v/>
      </c>
      <c r="T39" s="28" t="str">
        <f t="shared" si="6"/>
        <v>Zu Lang</v>
      </c>
      <c r="U39" s="28">
        <f t="shared" si="5"/>
        <v>1450.1</v>
      </c>
      <c r="V39" s="28">
        <f t="shared" si="5"/>
        <v>1000000</v>
      </c>
      <c r="W39">
        <v>9</v>
      </c>
      <c r="X39" s="29">
        <f t="shared" si="7"/>
        <v>0</v>
      </c>
    </row>
    <row r="40" spans="1:24" ht="15" x14ac:dyDescent="0.25">
      <c r="A40" s="267" t="s">
        <v>39</v>
      </c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W40">
        <v>10</v>
      </c>
      <c r="X40" s="29">
        <f t="shared" si="7"/>
        <v>0</v>
      </c>
    </row>
    <row r="41" spans="1:24" x14ac:dyDescent="0.2">
      <c r="A41" t="s">
        <v>41</v>
      </c>
      <c r="F41" s="26">
        <f>G17-15</f>
        <v>-15</v>
      </c>
      <c r="G41"/>
      <c r="H41"/>
      <c r="I41"/>
    </row>
    <row r="42" spans="1:24" x14ac:dyDescent="0.2">
      <c r="A42" t="s">
        <v>42</v>
      </c>
      <c r="F42" s="26">
        <f>E17-G17+15</f>
        <v>15</v>
      </c>
      <c r="G42"/>
      <c r="H42"/>
      <c r="I42"/>
    </row>
    <row r="43" spans="1:24" x14ac:dyDescent="0.2">
      <c r="A43" t="s">
        <v>43</v>
      </c>
      <c r="F43" s="26">
        <f>G17-35</f>
        <v>-35</v>
      </c>
      <c r="G43"/>
      <c r="H43"/>
      <c r="I43"/>
    </row>
    <row r="44" spans="1:24" x14ac:dyDescent="0.2">
      <c r="A44" t="s">
        <v>44</v>
      </c>
      <c r="F44" s="26">
        <f>E17-G17+35</f>
        <v>35</v>
      </c>
      <c r="G44"/>
      <c r="H44"/>
      <c r="I44"/>
    </row>
    <row r="45" spans="1:24" x14ac:dyDescent="0.2">
      <c r="A45" t="s">
        <v>45</v>
      </c>
      <c r="F45" s="26">
        <f>F17-23</f>
        <v>-23</v>
      </c>
      <c r="G45"/>
      <c r="H45"/>
      <c r="I45"/>
    </row>
    <row r="46" spans="1:24" x14ac:dyDescent="0.2">
      <c r="A46" t="s">
        <v>46</v>
      </c>
      <c r="F46" s="26">
        <f>E17-G17+23</f>
        <v>23</v>
      </c>
      <c r="G46"/>
      <c r="H46"/>
      <c r="I46"/>
    </row>
    <row r="47" spans="1:24" x14ac:dyDescent="0.2">
      <c r="F47" s="9"/>
      <c r="G47"/>
      <c r="H47"/>
      <c r="I47"/>
      <c r="P47" s="9"/>
    </row>
    <row r="48" spans="1:24" ht="15" x14ac:dyDescent="0.25">
      <c r="A48" s="34" t="s">
        <v>47</v>
      </c>
      <c r="B48" s="35"/>
      <c r="C48" s="35"/>
      <c r="D48" s="35"/>
      <c r="E48" s="35"/>
      <c r="F48" s="35" t="s">
        <v>48</v>
      </c>
      <c r="G48" s="35"/>
      <c r="H48" s="35"/>
      <c r="I48" s="35"/>
      <c r="J48" s="35"/>
      <c r="K48" s="35"/>
      <c r="L48" s="35"/>
    </row>
    <row r="49" spans="1:14" x14ac:dyDescent="0.2">
      <c r="A49" t="s">
        <v>49</v>
      </c>
      <c r="F49" s="26">
        <v>25</v>
      </c>
      <c r="G49"/>
      <c r="H49"/>
      <c r="I49"/>
    </row>
    <row r="50" spans="1:14" x14ac:dyDescent="0.2">
      <c r="A50" t="s">
        <v>33</v>
      </c>
      <c r="F50" s="26">
        <f>F28-25</f>
        <v>-67</v>
      </c>
      <c r="G50"/>
      <c r="H50"/>
      <c r="I50"/>
    </row>
    <row r="51" spans="1:14" x14ac:dyDescent="0.2">
      <c r="A51" s="33" t="s">
        <v>35</v>
      </c>
      <c r="F51" s="36" t="s">
        <v>50</v>
      </c>
      <c r="G51"/>
      <c r="H51"/>
      <c r="I51" t="s">
        <v>36</v>
      </c>
    </row>
    <row r="52" spans="1:14" x14ac:dyDescent="0.2">
      <c r="F52" s="129" t="str">
        <f>IF(B17=2,"Achtung!! 2 Flüglig!! Mittleres Loch auslassen","")</f>
        <v/>
      </c>
      <c r="G52"/>
      <c r="H52"/>
      <c r="I52"/>
    </row>
    <row r="53" spans="1:14" ht="15" x14ac:dyDescent="0.25">
      <c r="A53" s="267" t="s">
        <v>51</v>
      </c>
      <c r="B53" s="267"/>
      <c r="C53" s="267"/>
      <c r="D53" s="267"/>
      <c r="E53" s="267"/>
      <c r="F53" s="267"/>
      <c r="G53" s="267"/>
      <c r="H53" s="267"/>
      <c r="I53" s="267"/>
      <c r="J53" s="267"/>
      <c r="K53" s="267"/>
      <c r="L53" s="267"/>
    </row>
    <row r="54" spans="1:14" x14ac:dyDescent="0.2">
      <c r="A54" s="35" t="s">
        <v>52</v>
      </c>
      <c r="B54" s="37" t="s">
        <v>53</v>
      </c>
      <c r="C54" s="37"/>
      <c r="D54" s="206" t="s">
        <v>54</v>
      </c>
      <c r="E54" s="206"/>
      <c r="F54" s="35" t="s">
        <v>55</v>
      </c>
      <c r="G54" s="35"/>
      <c r="H54" s="35"/>
      <c r="I54" s="35"/>
      <c r="J54" s="35"/>
      <c r="K54" s="266" t="s">
        <v>13</v>
      </c>
      <c r="L54" s="266"/>
    </row>
    <row r="55" spans="1:14" x14ac:dyDescent="0.2">
      <c r="A55" s="12">
        <v>1</v>
      </c>
      <c r="B55" s="9">
        <f>VLOOKUP(A17,'Bestellung Commande'!A27:O65,11,FALSE)</f>
        <v>0</v>
      </c>
      <c r="C55" s="9"/>
      <c r="D55" s="252">
        <f>IF(ISERROR(VLOOKUP($B55,DATEN!$A$3:$D$10,2,FALSE)),"",VLOOKUP($B55,DATEN!$A$3:$D$10,2,FALSE))</f>
        <v>0</v>
      </c>
      <c r="E55" s="252"/>
      <c r="F55" s="12">
        <f>IF(ISERROR(VLOOKUP($B55,DATEN!$A$3:$D$10,3,FALSE)),"",VLOOKUP($B55,DATEN!$A$3:$D$10,3,FALSE))</f>
        <v>0</v>
      </c>
      <c r="G55"/>
      <c r="H55"/>
      <c r="K55" s="265">
        <f>$F$22</f>
        <v>0</v>
      </c>
      <c r="L55" s="265"/>
    </row>
    <row r="56" spans="1:14" x14ac:dyDescent="0.2">
      <c r="A56" s="12">
        <v>2</v>
      </c>
      <c r="B56" s="9">
        <f>VLOOKUP(A17,'Bestellung Commande'!A27:O65,12,FALSE)</f>
        <v>0</v>
      </c>
      <c r="C56" s="9"/>
      <c r="D56" s="252">
        <f>IF(ISERROR(VLOOKUP($B56,DATEN!$A$3:$D$10,2,FALSE)),"",VLOOKUP($B56,DATEN!$A$3:$D$10,2,FALSE))</f>
        <v>0</v>
      </c>
      <c r="E56" s="252"/>
      <c r="F56" s="9">
        <f>IF(ISERROR(VLOOKUP($B56,DATEN!$A$3:$D$10,3,FALSE)),"",VLOOKUP($B56,DATEN!$A$3:$D$10,3,FALSE))</f>
        <v>0</v>
      </c>
      <c r="G56"/>
      <c r="H56"/>
      <c r="K56" s="265">
        <f t="shared" ref="K56:K58" si="8">$F$22</f>
        <v>0</v>
      </c>
      <c r="L56" s="265"/>
    </row>
    <row r="57" spans="1:14" x14ac:dyDescent="0.2">
      <c r="A57" s="12">
        <v>3</v>
      </c>
      <c r="B57" s="9">
        <f>VLOOKUP(A17,'Bestellung Commande'!A27:O65,13,FALSE)</f>
        <v>0</v>
      </c>
      <c r="C57" s="9"/>
      <c r="D57" s="252">
        <f>IF(ISERROR(VLOOKUP($B57,DATEN!$A$3:$D$10,2,FALSE)),"",VLOOKUP($B57,DATEN!$A$3:$D$10,2,FALSE))</f>
        <v>0</v>
      </c>
      <c r="E57" s="252"/>
      <c r="F57" s="9">
        <f>IF(ISERROR(VLOOKUP($B57,DATEN!$A$3:$D$10,3,FALSE)),"",VLOOKUP($B57,DATEN!$A$3:$D$10,3,FALSE))</f>
        <v>0</v>
      </c>
      <c r="K57" s="265">
        <f t="shared" si="8"/>
        <v>0</v>
      </c>
      <c r="L57" s="265"/>
    </row>
    <row r="58" spans="1:14" x14ac:dyDescent="0.2">
      <c r="A58" s="12">
        <v>4</v>
      </c>
      <c r="B58" s="9">
        <f>VLOOKUP(A17,'Bestellung Commande'!A27:O65,14,FALSE)</f>
        <v>0</v>
      </c>
      <c r="C58" s="9"/>
      <c r="D58" s="252">
        <f>IF(ISERROR(VLOOKUP($B58,DATEN!$A$3:$D$10,2,FALSE)),"",VLOOKUP($B58,DATEN!$A$3:$D$10,2,FALSE))</f>
        <v>0</v>
      </c>
      <c r="E58" s="252"/>
      <c r="F58" s="9">
        <f>IF(ISERROR(VLOOKUP($B58,DATEN!$A$3:$D$10,3,FALSE)),"",VLOOKUP($B58,DATEN!$A$3:$D$10,3,FALSE))</f>
        <v>0</v>
      </c>
      <c r="K58" s="265">
        <f t="shared" si="8"/>
        <v>0</v>
      </c>
      <c r="L58" s="265"/>
      <c r="N58" s="46">
        <f>'Bestellung Commande'!B44</f>
        <v>0</v>
      </c>
    </row>
  </sheetData>
  <sheetProtection algorithmName="SHA-512" hashValue="nCW/PhfiZQ3PPCZgXUpjgavw+lRujlpNfVMRrB1pNK3qi+HFlCpeD7FsIWQXso4r9Rerablj64CmBQmp8mANTg==" saltValue="KiC/ZhNhiVzA3UknT5P5kg==" spinCount="100000" sheet="1" objects="1" scenarios="1"/>
  <mergeCells count="52">
    <mergeCell ref="D57:E57"/>
    <mergeCell ref="K57:L57"/>
    <mergeCell ref="D58:E58"/>
    <mergeCell ref="K58:L58"/>
    <mergeCell ref="A53:L53"/>
    <mergeCell ref="D54:E54"/>
    <mergeCell ref="K54:L54"/>
    <mergeCell ref="D55:E55"/>
    <mergeCell ref="K55:L55"/>
    <mergeCell ref="D56:E56"/>
    <mergeCell ref="K56:L56"/>
    <mergeCell ref="A40:L40"/>
    <mergeCell ref="A13:B13"/>
    <mergeCell ref="D13:F13"/>
    <mergeCell ref="A14:B14"/>
    <mergeCell ref="D14:F14"/>
    <mergeCell ref="B16:C16"/>
    <mergeCell ref="I16:L16"/>
    <mergeCell ref="B17:C17"/>
    <mergeCell ref="A20:N20"/>
    <mergeCell ref="A24:N24"/>
    <mergeCell ref="A29:N29"/>
    <mergeCell ref="A34:N34"/>
    <mergeCell ref="A10:B10"/>
    <mergeCell ref="D10:F10"/>
    <mergeCell ref="G10:N11"/>
    <mergeCell ref="A11:F11"/>
    <mergeCell ref="A12:B12"/>
    <mergeCell ref="D12:F12"/>
    <mergeCell ref="A6:B6"/>
    <mergeCell ref="D6:F6"/>
    <mergeCell ref="G6:N6"/>
    <mergeCell ref="A7:F7"/>
    <mergeCell ref="G7:N9"/>
    <mergeCell ref="A8:B8"/>
    <mergeCell ref="D8:F8"/>
    <mergeCell ref="A9:B9"/>
    <mergeCell ref="D9:F9"/>
    <mergeCell ref="D4:F4"/>
    <mergeCell ref="G4:J4"/>
    <mergeCell ref="K4:N4"/>
    <mergeCell ref="A5:B5"/>
    <mergeCell ref="D5:F5"/>
    <mergeCell ref="G5:J5"/>
    <mergeCell ref="K5:N5"/>
    <mergeCell ref="A1:N1"/>
    <mergeCell ref="A2:F2"/>
    <mergeCell ref="G2:N2"/>
    <mergeCell ref="A3:B3"/>
    <mergeCell ref="D3:F3"/>
    <mergeCell ref="G3:J3"/>
    <mergeCell ref="K3:N3"/>
  </mergeCells>
  <printOptions horizontalCentered="1"/>
  <pageMargins left="0.27" right="0.31" top="0.74803149606299213" bottom="0.74803149606299213" header="0.31496062992125984" footer="0.31496062992125984"/>
  <pageSetup paperSize="9" scale="87" orientation="portrait" r:id="rId1"/>
  <headerFooter>
    <oddHeader>&amp;R&amp;G</oddHeader>
    <oddFooter>&amp;LDuckdatum: &amp;D
&amp;F&amp;R&amp;P/&amp;N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E100274-8971-44D7-9A25-DCF70762453F}">
          <x14:formula1>
            <xm:f>DATEN!$I$1:$J$1</xm:f>
          </x14:formula1>
          <xm:sqref>K3:N3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EA47A-5145-4AE2-9ED3-3AE8C86EA31C}">
  <sheetPr codeName="Tabelle16"/>
  <dimension ref="A1:X58"/>
  <sheetViews>
    <sheetView view="pageBreakPreview" topLeftCell="A3" zoomScaleNormal="120" zoomScaleSheetLayoutView="100" workbookViewId="0">
      <selection activeCell="A12" sqref="A12:B12"/>
    </sheetView>
  </sheetViews>
  <sheetFormatPr baseColWidth="10" defaultColWidth="11" defaultRowHeight="14.25" x14ac:dyDescent="0.2"/>
  <cols>
    <col min="1" max="3" width="8.875" customWidth="1"/>
    <col min="4" max="5" width="6.5" customWidth="1"/>
    <col min="6" max="6" width="10.625" customWidth="1"/>
    <col min="7" max="7" width="8.75" style="9" customWidth="1"/>
    <col min="8" max="8" width="8.875" style="9" customWidth="1"/>
    <col min="9" max="9" width="4.875" style="9" customWidth="1"/>
    <col min="10" max="10" width="8.75" customWidth="1"/>
    <col min="11" max="11" width="4.5" style="9" customWidth="1"/>
    <col min="12" max="13" width="4.5" customWidth="1"/>
    <col min="14" max="14" width="4.5" style="9" customWidth="1"/>
  </cols>
  <sheetData>
    <row r="1" spans="1:18" ht="23.25" x14ac:dyDescent="0.2">
      <c r="A1" s="238" t="s">
        <v>9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1:18" ht="15" x14ac:dyDescent="0.25">
      <c r="A2" s="253" t="s">
        <v>0</v>
      </c>
      <c r="B2" s="254"/>
      <c r="C2" s="254"/>
      <c r="D2" s="254"/>
      <c r="E2" s="254"/>
      <c r="F2" s="255"/>
      <c r="G2" s="161" t="s">
        <v>1</v>
      </c>
      <c r="H2" s="162"/>
      <c r="I2" s="162"/>
      <c r="J2" s="162"/>
      <c r="K2" s="162"/>
      <c r="L2" s="162"/>
      <c r="M2" s="162"/>
      <c r="N2" s="162"/>
    </row>
    <row r="3" spans="1:18" ht="15" x14ac:dyDescent="0.25">
      <c r="A3" s="165" t="str">
        <f>VLOOKUP(DATEN!I2,DATEN!$I$1:$J$39,IF($K$3="Deutsch", 1, 2),FALSE)</f>
        <v>Kunde Name:</v>
      </c>
      <c r="B3" s="167"/>
      <c r="C3" s="11"/>
      <c r="D3" s="212">
        <f>'Bestellung Commande'!C2</f>
        <v>0</v>
      </c>
      <c r="E3" s="212"/>
      <c r="F3" s="212"/>
      <c r="G3" s="256" t="s">
        <v>2</v>
      </c>
      <c r="H3" s="257"/>
      <c r="I3" s="257"/>
      <c r="J3" s="258"/>
      <c r="K3" s="259" t="s">
        <v>3</v>
      </c>
      <c r="L3" s="260"/>
      <c r="M3" s="260"/>
      <c r="N3" s="261"/>
    </row>
    <row r="4" spans="1:18" ht="15" x14ac:dyDescent="0.25">
      <c r="A4" s="10" t="str">
        <f>VLOOKUP(DATEN!I3,DATEN!$I$1:$J$39,IF($K$3="Deutsch", 1, 2),FALSE)</f>
        <v>Kontaktperson:</v>
      </c>
      <c r="B4" s="11"/>
      <c r="C4" s="11"/>
      <c r="D4" s="212">
        <f>'Bestellung Commande'!C3</f>
        <v>0</v>
      </c>
      <c r="E4" s="212"/>
      <c r="F4" s="212"/>
      <c r="G4" s="256" t="str">
        <f>VLOOKUP(DATEN!I9,DATEN!$I$1:$J$39,IF($K$3="Deutsch", 1, 2),FALSE)</f>
        <v>Bestelldatum:</v>
      </c>
      <c r="H4" s="257"/>
      <c r="I4" s="257"/>
      <c r="J4" s="258"/>
      <c r="K4" s="263">
        <f>'Bestellung Commande'!L3</f>
        <v>0</v>
      </c>
      <c r="L4" s="260"/>
      <c r="M4" s="260"/>
      <c r="N4" s="261"/>
    </row>
    <row r="5" spans="1:18" ht="15" x14ac:dyDescent="0.25">
      <c r="A5" s="165" t="str">
        <f>VLOOKUP(DATEN!I4,DATEN!$I$1:$J$39,IF($K$3="Deutsch", 1, 2),FALSE)</f>
        <v>Kommision:</v>
      </c>
      <c r="B5" s="167"/>
      <c r="C5" s="11"/>
      <c r="D5" s="212">
        <f>'Bestellung Commande'!C4</f>
        <v>0</v>
      </c>
      <c r="E5" s="212"/>
      <c r="F5" s="212"/>
      <c r="G5" s="256" t="str">
        <f>VLOOKUP(DATEN!I10,DATEN!$I$1:$J$39,IF($K$3="Deutsch", 1, 2),FALSE)</f>
        <v>Wunsch Liefertermin:</v>
      </c>
      <c r="H5" s="257"/>
      <c r="I5" s="257"/>
      <c r="J5" s="258"/>
      <c r="K5" s="263">
        <f>'Bestellung Commande'!L4</f>
        <v>0</v>
      </c>
      <c r="L5" s="260"/>
      <c r="M5" s="260"/>
      <c r="N5" s="261"/>
    </row>
    <row r="6" spans="1:18" ht="15" x14ac:dyDescent="0.25">
      <c r="A6" s="165" t="str">
        <f>VLOOKUP(DATEN!I5,DATEN!$I$1:$J$39,IF($K$3="Deutsch", 1, 2),FALSE)</f>
        <v>Kontakt Telefon:</v>
      </c>
      <c r="B6" s="167"/>
      <c r="C6" s="11"/>
      <c r="D6" s="212">
        <f>'Bestellung Commande'!C5</f>
        <v>0</v>
      </c>
      <c r="E6" s="212"/>
      <c r="F6" s="212"/>
      <c r="G6" s="163" t="str">
        <f>VLOOKUP(DATEN!I11,DATEN!$I$1:$J$39,IF($K$3="Deutsch", 1, 2),FALSE)</f>
        <v>Bemerkung:</v>
      </c>
      <c r="H6" s="164"/>
      <c r="I6" s="164"/>
      <c r="J6" s="164"/>
      <c r="K6" s="164"/>
      <c r="L6" s="164"/>
      <c r="M6" s="164"/>
      <c r="N6" s="164"/>
    </row>
    <row r="7" spans="1:18" ht="15" x14ac:dyDescent="0.25">
      <c r="A7" s="264" t="s">
        <v>4</v>
      </c>
      <c r="B7" s="264"/>
      <c r="C7" s="264"/>
      <c r="D7" s="264"/>
      <c r="E7" s="264"/>
      <c r="F7" s="264"/>
      <c r="G7" s="225" t="str">
        <f>VLOOKUP(DATEN!I11,DATEN!$I$1:$J$39,IF($K$3="Deutsch", 1, 2),FALSE)</f>
        <v>Bemerkung:</v>
      </c>
      <c r="H7" s="225"/>
      <c r="I7" s="225"/>
      <c r="J7" s="225"/>
      <c r="K7" s="225"/>
      <c r="L7" s="225"/>
      <c r="M7" s="225"/>
      <c r="N7" s="225"/>
    </row>
    <row r="8" spans="1:18" ht="15" x14ac:dyDescent="0.25">
      <c r="A8" s="165" t="str">
        <f>VLOOKUP(DATEN!I6,DATEN!$I$1:$J$39,IF($K$3="Deutsch", 1, 2),FALSE)</f>
        <v>Strasse:</v>
      </c>
      <c r="B8" s="167"/>
      <c r="C8" s="11"/>
      <c r="D8" s="212">
        <f>'Bestellung Commande'!C8</f>
        <v>0</v>
      </c>
      <c r="E8" s="212"/>
      <c r="F8" s="212"/>
      <c r="G8" s="225"/>
      <c r="H8" s="225"/>
      <c r="I8" s="225"/>
      <c r="J8" s="225"/>
      <c r="K8" s="225"/>
      <c r="L8" s="225"/>
      <c r="M8" s="225"/>
      <c r="N8" s="225"/>
    </row>
    <row r="9" spans="1:18" ht="15" x14ac:dyDescent="0.25">
      <c r="A9" s="165" t="str">
        <f>VLOOKUP(DATEN!I7,DATEN!$I$1:$J$39,IF($K$3="Deutsch", 1, 2),FALSE)</f>
        <v>PLZ Ort:</v>
      </c>
      <c r="B9" s="167"/>
      <c r="C9" s="11"/>
      <c r="D9" s="212">
        <f>'Bestellung Commande'!C9</f>
        <v>0</v>
      </c>
      <c r="E9" s="212"/>
      <c r="F9" s="212"/>
      <c r="G9" s="225"/>
      <c r="H9" s="225"/>
      <c r="I9" s="225"/>
      <c r="J9" s="225"/>
      <c r="K9" s="225"/>
      <c r="L9" s="225"/>
      <c r="M9" s="225"/>
      <c r="N9" s="225"/>
    </row>
    <row r="10" spans="1:18" ht="15" customHeight="1" x14ac:dyDescent="0.25">
      <c r="A10" s="165" t="str">
        <f>VLOOKUP(DATEN!I8,DATEN!$I$1:$J$39,IF($K$3="Deutsch", 1, 2),FALSE)</f>
        <v>Kontakt:</v>
      </c>
      <c r="B10" s="167"/>
      <c r="C10" s="11"/>
      <c r="D10" s="212">
        <f>'Bestellung Commande'!C10</f>
        <v>0</v>
      </c>
      <c r="E10" s="212"/>
      <c r="F10" s="212"/>
      <c r="G10" s="262" t="str">
        <f>IF(VLOOKUP($A$17,'Bestellung Commande'!$A$27:$O$65,10,FALSE)&lt;&gt;"","Sonderbau!!!","")</f>
        <v/>
      </c>
      <c r="H10" s="262"/>
      <c r="I10" s="262"/>
      <c r="J10" s="262"/>
      <c r="K10" s="262"/>
      <c r="L10" s="262"/>
      <c r="M10" s="262"/>
      <c r="N10" s="262"/>
    </row>
    <row r="11" spans="1:18" ht="15" customHeight="1" x14ac:dyDescent="0.25">
      <c r="A11" s="264" t="s">
        <v>5</v>
      </c>
      <c r="B11" s="264"/>
      <c r="C11" s="264"/>
      <c r="D11" s="264"/>
      <c r="E11" s="264"/>
      <c r="F11" s="264"/>
      <c r="G11" s="262"/>
      <c r="H11" s="262"/>
      <c r="I11" s="262"/>
      <c r="J11" s="262"/>
      <c r="K11" s="262"/>
      <c r="L11" s="262"/>
      <c r="M11" s="262"/>
      <c r="N11" s="262"/>
    </row>
    <row r="12" spans="1:18" ht="15" customHeight="1" x14ac:dyDescent="0.4">
      <c r="A12" s="165" t="str">
        <f>VLOOKUP(DATEN!I6,DATEN!$I$1:$J$39,IF($K$3="Deutsch", 1, 2),FALSE)</f>
        <v>Strasse:</v>
      </c>
      <c r="B12" s="167"/>
      <c r="C12" s="11"/>
      <c r="D12" s="212">
        <f>'Bestellung Commande'!C12</f>
        <v>0</v>
      </c>
      <c r="E12" s="212"/>
      <c r="F12" s="212"/>
      <c r="G12" s="146"/>
      <c r="H12" s="146"/>
      <c r="I12" s="146"/>
      <c r="J12" s="146"/>
      <c r="K12" s="146"/>
      <c r="L12" s="146"/>
      <c r="M12" s="146"/>
      <c r="N12" s="146"/>
    </row>
    <row r="13" spans="1:18" ht="15" customHeight="1" x14ac:dyDescent="0.4">
      <c r="A13" s="165" t="str">
        <f>VLOOKUP(DATEN!I7,DATEN!$I$1:$J$39,IF($K$3="Deutsch", 1, 2),FALSE)</f>
        <v>PLZ Ort:</v>
      </c>
      <c r="B13" s="167"/>
      <c r="C13" s="11"/>
      <c r="D13" s="212">
        <f>'Bestellung Commande'!C13</f>
        <v>0</v>
      </c>
      <c r="E13" s="212"/>
      <c r="F13" s="212"/>
      <c r="G13" s="146"/>
      <c r="H13" s="146"/>
      <c r="I13" s="146"/>
      <c r="J13" s="146"/>
      <c r="K13" s="146"/>
      <c r="L13" s="146"/>
      <c r="M13" s="146"/>
      <c r="N13" s="146"/>
    </row>
    <row r="14" spans="1:18" ht="15" customHeight="1" x14ac:dyDescent="0.4">
      <c r="A14" s="165" t="str">
        <f>VLOOKUP(DATEN!I8,DATEN!$I$1:$J$39,IF($K$3="Deutsch", 1, 2),FALSE)</f>
        <v>Kontakt:</v>
      </c>
      <c r="B14" s="167"/>
      <c r="C14" s="11"/>
      <c r="D14" s="212">
        <f>'Bestellung Commande'!C14</f>
        <v>0</v>
      </c>
      <c r="E14" s="212"/>
      <c r="F14" s="212"/>
      <c r="G14" s="146"/>
      <c r="H14" s="146"/>
      <c r="I14" s="146"/>
      <c r="J14" s="146"/>
      <c r="K14" s="146"/>
      <c r="L14" s="146"/>
      <c r="M14" s="146"/>
      <c r="N14" s="146"/>
    </row>
    <row r="15" spans="1:18" ht="15.75" thickBot="1" x14ac:dyDescent="0.3">
      <c r="A15" s="140" t="str">
        <f>'Bestellung Commande'!A67</f>
        <v>V9.5</v>
      </c>
      <c r="B15" s="14"/>
      <c r="C15" s="14"/>
      <c r="D15" s="15"/>
      <c r="E15" s="15"/>
      <c r="F15" s="15"/>
      <c r="G15" s="13"/>
      <c r="H15" s="13"/>
      <c r="I15" s="13"/>
      <c r="J15" s="13"/>
      <c r="K15" s="13"/>
      <c r="L15" s="13"/>
      <c r="M15" s="16">
        <f>'Bestellung Commande'!N24</f>
        <v>73</v>
      </c>
      <c r="N15" s="13"/>
      <c r="O15" s="20" t="s">
        <v>220</v>
      </c>
      <c r="P15" s="9"/>
      <c r="Q15" s="9"/>
      <c r="R15" s="9"/>
    </row>
    <row r="16" spans="1:18" s="19" customFormat="1" ht="28.5" customHeight="1" x14ac:dyDescent="0.2">
      <c r="A16" s="17" t="s">
        <v>216</v>
      </c>
      <c r="B16" s="176" t="str">
        <f>VLOOKUP(DATEN!I14,DATEN!$I$1:$J$39,IF($K$3="Deutsch", 1, 2),FALSE)</f>
        <v>Anz.
Flügel</v>
      </c>
      <c r="C16" s="176"/>
      <c r="D16" s="17" t="str">
        <f>VLOOKUP(DATEN!I15,DATEN!$I$1:$J$39,IF($K$3="Deutsch", 1, 2),FALSE)</f>
        <v>Stk Schw.</v>
      </c>
      <c r="E16" s="17" t="str">
        <f>VLOOKUP(DATEN!I16,DATEN!$I$1:$J$39,IF($K$3="Deutsch", 1, 2),FALSE)</f>
        <v>RA</v>
      </c>
      <c r="F16" s="17" t="str">
        <f>VLOOKUP(DATEN!I17,DATEN!$I$1:$J$39,IF($K$3="Deutsch", 1, 2),FALSE)</f>
        <v>RBL 
(min45)</v>
      </c>
      <c r="G16" s="17" t="str">
        <f>VLOOKUP(DATEN!I18,DATEN!$I$1:$J$39,IF($K$3="Deutsch", 1, 2),FALSE)</f>
        <v>RBR 
(min45)</v>
      </c>
      <c r="H16" s="17"/>
      <c r="I16" s="184" t="str">
        <f>VLOOKUP(DATEN!I19,DATEN!$I$1:$J$39,IF($K$3="Deutsch", 1, 2),FALSE)</f>
        <v>Verbreiterungen</v>
      </c>
      <c r="J16" s="185"/>
      <c r="K16" s="185"/>
      <c r="L16" s="185"/>
      <c r="M16" s="18" t="str">
        <f>VLOOKUP(DATEN!I20,DATEN!$I$1:$J$39,IF($K$3="Deutsch",1,2),FALSE)</f>
        <v>Total</v>
      </c>
      <c r="N16" s="17"/>
      <c r="O16" s="20" t="str">
        <f>E25</f>
        <v>Profil</v>
      </c>
      <c r="P16" s="20" t="str">
        <f>A26</f>
        <v>Links</v>
      </c>
      <c r="Q16" s="20" t="str">
        <f>A27</f>
        <v>Rechts</v>
      </c>
      <c r="R16" s="20" t="str">
        <f>A28</f>
        <v>Mittelteil</v>
      </c>
    </row>
    <row r="17" spans="1:24" ht="15" thickBot="1" x14ac:dyDescent="0.25">
      <c r="A17" s="41">
        <v>13</v>
      </c>
      <c r="B17" s="268">
        <f>VLOOKUP($A$17,'Bestellung Commande'!$A$27:$O$65,3,FALSE)</f>
        <v>0</v>
      </c>
      <c r="C17" s="268"/>
      <c r="D17" s="41">
        <f>VLOOKUP($A$17,'Bestellung Commande'!$A$27:$O$65,5,FALSE)</f>
        <v>0</v>
      </c>
      <c r="E17" s="41">
        <f>VLOOKUP($A$17,'Bestellung Commande'!$A$27:$O$65,6,FALSE)</f>
        <v>0</v>
      </c>
      <c r="F17" s="41">
        <f>VLOOKUP($A$17,'Bestellung Commande'!$A$27:$O$65,7,FALSE)</f>
        <v>0</v>
      </c>
      <c r="G17" s="41">
        <f>VLOOKUP($A$17,'Bestellung Commande'!$A$27:$O$65,8,FALSE)</f>
        <v>0</v>
      </c>
      <c r="H17" s="41">
        <f>VLOOKUP($A$17,'Bestellung Commande'!$A$27:$O$65,9,FALSE)</f>
        <v>0</v>
      </c>
      <c r="I17" s="22">
        <f>VLOOKUP($A$17,'Bestellung Commande'!$A$27:$O$65,10,FALSE)</f>
        <v>0</v>
      </c>
      <c r="J17" s="23">
        <f>VLOOKUP($A$17,'Bestellung Commande'!$A$27:$O$65,11,FALSE)</f>
        <v>0</v>
      </c>
      <c r="K17" s="23">
        <f>VLOOKUP($A$17,'Bestellung Commande'!$A$27:$O$65,12,FALSE)</f>
        <v>0</v>
      </c>
      <c r="L17" s="23">
        <f>VLOOKUP($A$17,'Bestellung Commande'!$A$27:$O$65,13,FALSE)</f>
        <v>0</v>
      </c>
      <c r="M17" s="125">
        <f>VLOOKUP($A$17,'Bestellung Commande'!$A$27:$O$65,14,FALSE)</f>
        <v>0</v>
      </c>
      <c r="N17" s="24"/>
      <c r="O17" s="9" t="str">
        <f>F25</f>
        <v>C298927</v>
      </c>
      <c r="P17" s="29">
        <f>F26</f>
        <v>20</v>
      </c>
      <c r="Q17" s="29">
        <f>F27</f>
        <v>20</v>
      </c>
      <c r="R17" s="29">
        <f>F28</f>
        <v>-42</v>
      </c>
    </row>
    <row r="18" spans="1:24" x14ac:dyDescent="0.2">
      <c r="B18" s="41" cm="1">
        <f t="array" ref="B18">INDEX('Bestellung Commande'!$C$27:$C$66, MATCH($A$17, 'Bestellung Commande'!$A$27:$A$66, 0) + 1)</f>
        <v>0</v>
      </c>
      <c r="C18" s="41" cm="1">
        <f t="array" ref="C18">INDEX('Bestellung Commande'!$D$27:$D$66, MATCH($A$17, 'Bestellung Commande'!$A$27:$A$66, 0) + 1)</f>
        <v>0</v>
      </c>
    </row>
    <row r="20" spans="1:24" ht="15" x14ac:dyDescent="0.25">
      <c r="A20" s="267" t="s">
        <v>10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</row>
    <row r="21" spans="1:24" ht="15" x14ac:dyDescent="0.25">
      <c r="E21" s="25" t="s">
        <v>11</v>
      </c>
      <c r="F21" s="9" t="s">
        <v>12</v>
      </c>
      <c r="G21"/>
      <c r="H21"/>
      <c r="I21"/>
    </row>
    <row r="22" spans="1:24" x14ac:dyDescent="0.2">
      <c r="E22" t="s">
        <v>13</v>
      </c>
      <c r="F22" s="26">
        <f>E17</f>
        <v>0</v>
      </c>
      <c r="G22"/>
      <c r="H22"/>
      <c r="I22"/>
    </row>
    <row r="23" spans="1:24" x14ac:dyDescent="0.2">
      <c r="F23" s="9">
        <f>B17</f>
        <v>0</v>
      </c>
      <c r="G23"/>
      <c r="H23"/>
      <c r="I23"/>
    </row>
    <row r="24" spans="1:24" ht="15" x14ac:dyDescent="0.25">
      <c r="A24" s="267" t="s">
        <v>14</v>
      </c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</row>
    <row r="25" spans="1:24" ht="15" x14ac:dyDescent="0.25">
      <c r="E25" s="25" t="s">
        <v>11</v>
      </c>
      <c r="F25" s="9" t="s">
        <v>15</v>
      </c>
      <c r="G25"/>
      <c r="H25"/>
      <c r="I25"/>
    </row>
    <row r="26" spans="1:24" x14ac:dyDescent="0.2">
      <c r="A26" t="s">
        <v>16</v>
      </c>
      <c r="E26" t="s">
        <v>13</v>
      </c>
      <c r="F26" s="26">
        <f>F17+20</f>
        <v>20</v>
      </c>
      <c r="G26"/>
      <c r="H26"/>
      <c r="I26"/>
      <c r="W26" s="121" t="s">
        <v>208</v>
      </c>
      <c r="X26" s="122">
        <f>F37-F36</f>
        <v>-100</v>
      </c>
    </row>
    <row r="27" spans="1:24" x14ac:dyDescent="0.2">
      <c r="A27" t="s">
        <v>17</v>
      </c>
      <c r="E27" t="s">
        <v>13</v>
      </c>
      <c r="F27" s="26">
        <f>G17+20</f>
        <v>20</v>
      </c>
      <c r="G27"/>
      <c r="H27"/>
      <c r="I27"/>
      <c r="W27" t="s">
        <v>209</v>
      </c>
      <c r="X27">
        <f>[1]DATEN!D14</f>
        <v>300</v>
      </c>
    </row>
    <row r="28" spans="1:24" x14ac:dyDescent="0.2">
      <c r="A28" t="s">
        <v>18</v>
      </c>
      <c r="E28" t="s">
        <v>13</v>
      </c>
      <c r="F28" s="26">
        <f>(E17-(F26+F27))-2</f>
        <v>-42</v>
      </c>
      <c r="G28"/>
      <c r="H28"/>
      <c r="I28"/>
      <c r="P28" t="s">
        <v>293</v>
      </c>
      <c r="T28" t="s">
        <v>294</v>
      </c>
      <c r="W28" t="s">
        <v>210</v>
      </c>
      <c r="X28">
        <f>ROUNDUP(X26/X27,0)</f>
        <v>-1</v>
      </c>
    </row>
    <row r="29" spans="1:24" ht="15" x14ac:dyDescent="0.25">
      <c r="A29" s="267" t="s">
        <v>19</v>
      </c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7" t="str">
        <f t="shared" ref="O29:O39" si="0">IF(AND($F$32&gt;=Q29,$F$32&lt;R29),P29,"")</f>
        <v/>
      </c>
      <c r="P29" s="28" t="str">
        <f>" "</f>
        <v xml:space="preserve"> </v>
      </c>
      <c r="Q29" s="28">
        <v>-1000000</v>
      </c>
      <c r="R29" s="28">
        <v>0</v>
      </c>
      <c r="S29" s="27" t="str">
        <f t="shared" ref="S29:S39" si="1">IF(AND($G$32&gt;=U29,$G$32&lt;V29),T29,"")</f>
        <v/>
      </c>
      <c r="T29" s="28" t="str">
        <f t="shared" ref="T29:T30" si="2">P29</f>
        <v xml:space="preserve"> </v>
      </c>
      <c r="U29" s="28">
        <f t="shared" ref="U29:U30" si="3">Q29</f>
        <v>-1000000</v>
      </c>
      <c r="V29" s="28">
        <f t="shared" ref="V29:V30" si="4">R29</f>
        <v>0</v>
      </c>
      <c r="W29" t="s">
        <v>211</v>
      </c>
      <c r="X29">
        <f>X26/X28</f>
        <v>100</v>
      </c>
    </row>
    <row r="30" spans="1:24" ht="15" x14ac:dyDescent="0.25">
      <c r="F30" s="25" t="s">
        <v>293</v>
      </c>
      <c r="G30" s="25" t="s">
        <v>294</v>
      </c>
      <c r="H30"/>
      <c r="I30"/>
      <c r="K30"/>
      <c r="N30"/>
      <c r="O30" s="27" t="str">
        <f t="shared" si="0"/>
        <v/>
      </c>
      <c r="P30" s="28"/>
      <c r="Q30" s="28">
        <v>0.1</v>
      </c>
      <c r="R30" s="28">
        <v>247.9</v>
      </c>
      <c r="S30" s="27" t="str">
        <f t="shared" si="1"/>
        <v/>
      </c>
      <c r="T30" s="28">
        <f t="shared" si="2"/>
        <v>0</v>
      </c>
      <c r="U30" s="28">
        <f t="shared" si="3"/>
        <v>0.1</v>
      </c>
      <c r="V30" s="28">
        <f t="shared" si="4"/>
        <v>247.9</v>
      </c>
    </row>
    <row r="31" spans="1:24" x14ac:dyDescent="0.2">
      <c r="F31" s="9" t="str">
        <f>O29&amp;O31&amp;O32&amp;O33&amp;O34&amp;O35&amp;O36&amp;O37&amp;O38&amp;O39</f>
        <v/>
      </c>
      <c r="G31" s="9" t="str">
        <f>S29&amp;S31&amp;S32&amp;S33&amp;S34&amp;S35&amp;S36&amp;S37&amp;S38&amp;S39</f>
        <v/>
      </c>
      <c r="I31"/>
      <c r="O31" s="27" t="str">
        <f t="shared" si="0"/>
        <v/>
      </c>
      <c r="P31" s="28" t="str">
        <f>DATEN!M7</f>
        <v>C555366</v>
      </c>
      <c r="Q31" s="28">
        <f>DATEN!N7</f>
        <v>275</v>
      </c>
      <c r="R31" s="28">
        <f>DATEN!O7</f>
        <v>400</v>
      </c>
      <c r="S31" s="27" t="str">
        <f t="shared" si="1"/>
        <v/>
      </c>
      <c r="T31" s="28" t="str">
        <f>P31</f>
        <v>C555366</v>
      </c>
      <c r="U31" s="28">
        <f t="shared" ref="U31:V39" si="5">Q31</f>
        <v>275</v>
      </c>
      <c r="V31" s="28">
        <f t="shared" si="5"/>
        <v>400</v>
      </c>
      <c r="W31">
        <v>1</v>
      </c>
      <c r="X31" s="29">
        <f>F36</f>
        <v>50</v>
      </c>
    </row>
    <row r="32" spans="1:24" x14ac:dyDescent="0.2">
      <c r="A32" t="s">
        <v>13</v>
      </c>
      <c r="F32" s="26" t="b">
        <f>IF(AND(B17=1,B18=0),H17,IF(AND(B17=1,B18&gt;0),B18,IF(AND(B17=2,B18=0),(H17-20)/2,IF(AND(B17=2,B18&gt;0),B18))))</f>
        <v>0</v>
      </c>
      <c r="G32" s="26">
        <f>IF(B17=1,0,IF(AND(B17=2,C18=0),0,C18))</f>
        <v>0</v>
      </c>
      <c r="I32"/>
      <c r="O32" s="27" t="str">
        <f t="shared" si="0"/>
        <v/>
      </c>
      <c r="P32" s="28" t="str">
        <f>DATEN!M8</f>
        <v>C555367</v>
      </c>
      <c r="Q32" s="28">
        <f>DATEN!N8</f>
        <v>400</v>
      </c>
      <c r="R32" s="28">
        <f>DATEN!O8</f>
        <v>550</v>
      </c>
      <c r="S32" s="27" t="str">
        <f t="shared" si="1"/>
        <v/>
      </c>
      <c r="T32" s="28" t="str">
        <f t="shared" ref="T32:T39" si="6">P32</f>
        <v>C555367</v>
      </c>
      <c r="U32" s="28">
        <f t="shared" si="5"/>
        <v>400</v>
      </c>
      <c r="V32" s="28">
        <f t="shared" si="5"/>
        <v>550</v>
      </c>
      <c r="W32">
        <v>2</v>
      </c>
      <c r="X32" s="29">
        <f>ROUND(IF(W32-1&gt;$X$28,0,X31+$X$29),0)</f>
        <v>0</v>
      </c>
    </row>
    <row r="33" spans="1:24" x14ac:dyDescent="0.2">
      <c r="A33" t="s">
        <v>23</v>
      </c>
      <c r="F33" s="30">
        <f>IF(AND(B17=2,B18=0),B17,1)*D17</f>
        <v>0</v>
      </c>
      <c r="G33" s="30">
        <f>IF(G32&gt;0,1,0)*D17</f>
        <v>0</v>
      </c>
      <c r="I33"/>
      <c r="O33" s="27" t="str">
        <f t="shared" si="0"/>
        <v/>
      </c>
      <c r="P33" s="28" t="str">
        <f>DATEN!M9</f>
        <v>C555368</v>
      </c>
      <c r="Q33" s="28">
        <f>DATEN!N9</f>
        <v>550</v>
      </c>
      <c r="R33" s="28">
        <f>DATEN!O9</f>
        <v>700</v>
      </c>
      <c r="S33" s="27" t="str">
        <f t="shared" si="1"/>
        <v/>
      </c>
      <c r="T33" s="28" t="str">
        <f t="shared" si="6"/>
        <v>C555368</v>
      </c>
      <c r="U33" s="28">
        <f t="shared" si="5"/>
        <v>550</v>
      </c>
      <c r="V33" s="28">
        <f t="shared" si="5"/>
        <v>700</v>
      </c>
      <c r="W33">
        <v>3</v>
      </c>
      <c r="X33" s="29">
        <f t="shared" ref="X33:X40" si="7">ROUND(IF(W33-1&gt;$X$28,0,X32+$X$29),0)</f>
        <v>0</v>
      </c>
    </row>
    <row r="34" spans="1:24" ht="15" x14ac:dyDescent="0.25">
      <c r="A34" s="267" t="s">
        <v>25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7" t="str">
        <f>IF(AND($F$32&gt;=Q34,$F$32&lt;R34),P34,"")</f>
        <v/>
      </c>
      <c r="P34" s="28" t="str">
        <f>DATEN!M10</f>
        <v>C555369</v>
      </c>
      <c r="Q34" s="28">
        <f>DATEN!N10</f>
        <v>700</v>
      </c>
      <c r="R34" s="28">
        <f>DATEN!O10</f>
        <v>850</v>
      </c>
      <c r="S34" s="27" t="str">
        <f t="shared" si="1"/>
        <v/>
      </c>
      <c r="T34" s="28" t="str">
        <f t="shared" si="6"/>
        <v>C555369</v>
      </c>
      <c r="U34" s="28">
        <f t="shared" si="5"/>
        <v>700</v>
      </c>
      <c r="V34" s="28">
        <f t="shared" si="5"/>
        <v>850</v>
      </c>
      <c r="W34">
        <v>4</v>
      </c>
      <c r="X34" s="29">
        <f t="shared" si="7"/>
        <v>0</v>
      </c>
    </row>
    <row r="35" spans="1:24" ht="15" x14ac:dyDescent="0.25">
      <c r="A35" s="31" t="s">
        <v>27</v>
      </c>
      <c r="F35" s="9" t="s">
        <v>28</v>
      </c>
      <c r="G35" s="32" t="s">
        <v>29</v>
      </c>
      <c r="H35" s="32"/>
      <c r="I35"/>
      <c r="O35" s="27" t="str">
        <f t="shared" si="0"/>
        <v/>
      </c>
      <c r="P35" s="28" t="str">
        <f>DATEN!M11</f>
        <v>C555370</v>
      </c>
      <c r="Q35" s="28">
        <f>DATEN!N11</f>
        <v>850</v>
      </c>
      <c r="R35" s="28">
        <f>DATEN!O11</f>
        <v>1000</v>
      </c>
      <c r="S35" s="27" t="str">
        <f>IF(AND($G$32&gt;=U35,$G$32&lt;V35),T35,"")</f>
        <v/>
      </c>
      <c r="T35" s="28" t="str">
        <f t="shared" si="6"/>
        <v>C555370</v>
      </c>
      <c r="U35" s="28">
        <f t="shared" si="5"/>
        <v>850</v>
      </c>
      <c r="V35" s="28">
        <f t="shared" si="5"/>
        <v>1000</v>
      </c>
      <c r="W35">
        <v>5</v>
      </c>
      <c r="X35" s="29">
        <f t="shared" si="7"/>
        <v>0</v>
      </c>
    </row>
    <row r="36" spans="1:24" x14ac:dyDescent="0.2">
      <c r="A36" t="s">
        <v>31</v>
      </c>
      <c r="F36" s="26">
        <f>F17+50</f>
        <v>50</v>
      </c>
      <c r="G36"/>
      <c r="H36" t="s">
        <v>206</v>
      </c>
      <c r="I36"/>
      <c r="O36" s="27" t="str">
        <f t="shared" si="0"/>
        <v/>
      </c>
      <c r="P36" s="28" t="str">
        <f>DATEN!M12</f>
        <v>C555371</v>
      </c>
      <c r="Q36" s="28">
        <f>DATEN!N12</f>
        <v>1000</v>
      </c>
      <c r="R36" s="28">
        <f>DATEN!O12</f>
        <v>1150</v>
      </c>
      <c r="S36" s="27" t="str">
        <f t="shared" si="1"/>
        <v/>
      </c>
      <c r="T36" s="28" t="str">
        <f t="shared" si="6"/>
        <v>C555371</v>
      </c>
      <c r="U36" s="28">
        <f t="shared" si="5"/>
        <v>1000</v>
      </c>
      <c r="V36" s="28">
        <f t="shared" si="5"/>
        <v>1150</v>
      </c>
      <c r="W36">
        <v>6</v>
      </c>
      <c r="X36" s="29">
        <f t="shared" si="7"/>
        <v>0</v>
      </c>
    </row>
    <row r="37" spans="1:24" x14ac:dyDescent="0.2">
      <c r="A37" t="s">
        <v>33</v>
      </c>
      <c r="F37" s="26">
        <f>F17+H17-DATEN!$D$13</f>
        <v>-50</v>
      </c>
      <c r="H37" t="s">
        <v>36</v>
      </c>
      <c r="I37"/>
      <c r="J37" s="9">
        <f>X28+1</f>
        <v>0</v>
      </c>
      <c r="O37" s="27" t="str">
        <f t="shared" si="0"/>
        <v/>
      </c>
      <c r="P37" s="28" t="str">
        <f>DATEN!M13</f>
        <v>C555372</v>
      </c>
      <c r="Q37" s="28">
        <f>DATEN!N13</f>
        <v>1150</v>
      </c>
      <c r="R37" s="28">
        <f>DATEN!O13</f>
        <v>1300</v>
      </c>
      <c r="S37" s="27" t="str">
        <f t="shared" si="1"/>
        <v/>
      </c>
      <c r="T37" s="28" t="str">
        <f t="shared" si="6"/>
        <v>C555372</v>
      </c>
      <c r="U37" s="28">
        <f t="shared" si="5"/>
        <v>1150</v>
      </c>
      <c r="V37" s="28">
        <f t="shared" si="5"/>
        <v>1300</v>
      </c>
      <c r="W37">
        <v>7</v>
      </c>
      <c r="X37" s="29">
        <f t="shared" si="7"/>
        <v>0</v>
      </c>
    </row>
    <row r="38" spans="1:24" x14ac:dyDescent="0.2">
      <c r="A38" s="33" t="s">
        <v>35</v>
      </c>
      <c r="F38" s="123" t="str">
        <f>X31&amp;IF(X32="",""," / ")&amp;X32  &amp; IF(X33="",""," / ")&amp;X33&amp; IF(X34="",""," / ")&amp;X34&amp; IF(X35="",""," / ")&amp;X35&amp; IF(X36="",""," / ")&amp;X36&amp; IF(X37="",""," / ")&amp;X37&amp; IF(X38="",""," / ")&amp;X38&amp; IF(X39="",""," / ")&amp;X39&amp; IF(X40="",""," / ")&amp;X40</f>
        <v>50 / 0 / 0 / 0 / 0 / 0 / 0 / 0 / 0 / 0</v>
      </c>
      <c r="O38" s="27" t="str">
        <f t="shared" si="0"/>
        <v/>
      </c>
      <c r="P38" s="28" t="str">
        <f>DATEN!M14</f>
        <v>C555373</v>
      </c>
      <c r="Q38" s="28">
        <f>DATEN!N14</f>
        <v>1300</v>
      </c>
      <c r="R38" s="28">
        <f>DATEN!O14</f>
        <v>1450</v>
      </c>
      <c r="S38" s="27" t="str">
        <f t="shared" si="1"/>
        <v/>
      </c>
      <c r="T38" s="28" t="str">
        <f t="shared" si="6"/>
        <v>C555373</v>
      </c>
      <c r="U38" s="28">
        <f t="shared" si="5"/>
        <v>1300</v>
      </c>
      <c r="V38" s="28">
        <f t="shared" si="5"/>
        <v>1450</v>
      </c>
      <c r="W38">
        <v>8</v>
      </c>
      <c r="X38" s="29">
        <f t="shared" si="7"/>
        <v>0</v>
      </c>
    </row>
    <row r="39" spans="1:24" x14ac:dyDescent="0.2">
      <c r="F39" s="9"/>
      <c r="G39"/>
      <c r="H39"/>
      <c r="I39"/>
      <c r="O39" s="27" t="str">
        <f t="shared" si="0"/>
        <v/>
      </c>
      <c r="P39" s="28" t="str">
        <f>DATEN!M15</f>
        <v>Zu Lang</v>
      </c>
      <c r="Q39" s="28">
        <f>DATEN!N15</f>
        <v>1450.1</v>
      </c>
      <c r="R39" s="28">
        <f>DATEN!O15</f>
        <v>1000000</v>
      </c>
      <c r="S39" s="27" t="str">
        <f t="shared" si="1"/>
        <v/>
      </c>
      <c r="T39" s="28" t="str">
        <f t="shared" si="6"/>
        <v>Zu Lang</v>
      </c>
      <c r="U39" s="28">
        <f t="shared" si="5"/>
        <v>1450.1</v>
      </c>
      <c r="V39" s="28">
        <f t="shared" si="5"/>
        <v>1000000</v>
      </c>
      <c r="W39">
        <v>9</v>
      </c>
      <c r="X39" s="29">
        <f t="shared" si="7"/>
        <v>0</v>
      </c>
    </row>
    <row r="40" spans="1:24" ht="15" x14ac:dyDescent="0.25">
      <c r="A40" s="267" t="s">
        <v>39</v>
      </c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W40">
        <v>10</v>
      </c>
      <c r="X40" s="29">
        <f t="shared" si="7"/>
        <v>0</v>
      </c>
    </row>
    <row r="41" spans="1:24" x14ac:dyDescent="0.2">
      <c r="A41" t="s">
        <v>41</v>
      </c>
      <c r="F41" s="26">
        <f>G17-15</f>
        <v>-15</v>
      </c>
      <c r="G41"/>
      <c r="H41"/>
      <c r="I41"/>
    </row>
    <row r="42" spans="1:24" x14ac:dyDescent="0.2">
      <c r="A42" t="s">
        <v>42</v>
      </c>
      <c r="F42" s="26">
        <f>E17-G17+15</f>
        <v>15</v>
      </c>
      <c r="G42"/>
      <c r="H42"/>
      <c r="I42"/>
    </row>
    <row r="43" spans="1:24" x14ac:dyDescent="0.2">
      <c r="A43" t="s">
        <v>43</v>
      </c>
      <c r="F43" s="26">
        <f>G17-35</f>
        <v>-35</v>
      </c>
      <c r="G43"/>
      <c r="H43"/>
      <c r="I43"/>
    </row>
    <row r="44" spans="1:24" x14ac:dyDescent="0.2">
      <c r="A44" t="s">
        <v>44</v>
      </c>
      <c r="F44" s="26">
        <f>E17-G17+35</f>
        <v>35</v>
      </c>
      <c r="G44"/>
      <c r="H44"/>
      <c r="I44"/>
    </row>
    <row r="45" spans="1:24" x14ac:dyDescent="0.2">
      <c r="A45" t="s">
        <v>45</v>
      </c>
      <c r="F45" s="26">
        <f>F17-23</f>
        <v>-23</v>
      </c>
      <c r="G45"/>
      <c r="H45"/>
      <c r="I45"/>
    </row>
    <row r="46" spans="1:24" x14ac:dyDescent="0.2">
      <c r="A46" t="s">
        <v>46</v>
      </c>
      <c r="F46" s="26">
        <f>E17-G17+23</f>
        <v>23</v>
      </c>
      <c r="G46"/>
      <c r="H46"/>
      <c r="I46"/>
    </row>
    <row r="47" spans="1:24" x14ac:dyDescent="0.2">
      <c r="F47" s="9"/>
      <c r="G47"/>
      <c r="H47"/>
      <c r="I47"/>
      <c r="P47" s="9"/>
    </row>
    <row r="48" spans="1:24" ht="15" x14ac:dyDescent="0.25">
      <c r="A48" s="34" t="s">
        <v>47</v>
      </c>
      <c r="B48" s="35"/>
      <c r="C48" s="35"/>
      <c r="D48" s="35"/>
      <c r="E48" s="35"/>
      <c r="F48" s="35" t="s">
        <v>48</v>
      </c>
      <c r="G48" s="35"/>
      <c r="H48" s="35"/>
      <c r="I48" s="35"/>
      <c r="J48" s="35"/>
      <c r="K48" s="35"/>
      <c r="L48" s="35"/>
    </row>
    <row r="49" spans="1:14" x14ac:dyDescent="0.2">
      <c r="A49" t="s">
        <v>49</v>
      </c>
      <c r="F49" s="26">
        <v>25</v>
      </c>
      <c r="G49"/>
      <c r="H49"/>
      <c r="I49"/>
    </row>
    <row r="50" spans="1:14" x14ac:dyDescent="0.2">
      <c r="A50" t="s">
        <v>33</v>
      </c>
      <c r="F50" s="26">
        <f>F28-25</f>
        <v>-67</v>
      </c>
      <c r="G50"/>
      <c r="H50"/>
      <c r="I50"/>
    </row>
    <row r="51" spans="1:14" x14ac:dyDescent="0.2">
      <c r="A51" s="33" t="s">
        <v>35</v>
      </c>
      <c r="F51" s="36" t="s">
        <v>50</v>
      </c>
      <c r="G51"/>
      <c r="H51"/>
      <c r="I51" t="s">
        <v>36</v>
      </c>
    </row>
    <row r="52" spans="1:14" x14ac:dyDescent="0.2">
      <c r="F52" s="129" t="str">
        <f>IF(B17=2,"Achtung!! 2 Flüglig!! Mittleres Loch auslassen","")</f>
        <v/>
      </c>
      <c r="G52"/>
      <c r="H52"/>
      <c r="I52"/>
    </row>
    <row r="53" spans="1:14" ht="15" x14ac:dyDescent="0.25">
      <c r="A53" s="267" t="s">
        <v>51</v>
      </c>
      <c r="B53" s="267"/>
      <c r="C53" s="267"/>
      <c r="D53" s="267"/>
      <c r="E53" s="267"/>
      <c r="F53" s="267"/>
      <c r="G53" s="267"/>
      <c r="H53" s="267"/>
      <c r="I53" s="267"/>
      <c r="J53" s="267"/>
      <c r="K53" s="267"/>
      <c r="L53" s="267"/>
    </row>
    <row r="54" spans="1:14" x14ac:dyDescent="0.2">
      <c r="A54" s="35" t="s">
        <v>52</v>
      </c>
      <c r="B54" s="37" t="s">
        <v>53</v>
      </c>
      <c r="C54" s="37"/>
      <c r="D54" s="206" t="s">
        <v>54</v>
      </c>
      <c r="E54" s="206"/>
      <c r="F54" s="35" t="s">
        <v>55</v>
      </c>
      <c r="G54" s="35"/>
      <c r="H54" s="35"/>
      <c r="I54" s="35"/>
      <c r="J54" s="35"/>
      <c r="K54" s="266" t="s">
        <v>13</v>
      </c>
      <c r="L54" s="266"/>
    </row>
    <row r="55" spans="1:14" x14ac:dyDescent="0.2">
      <c r="A55" s="12">
        <v>1</v>
      </c>
      <c r="B55" s="9">
        <f>VLOOKUP(A17,'Bestellung Commande'!A27:O65,11,FALSE)</f>
        <v>0</v>
      </c>
      <c r="C55" s="9"/>
      <c r="D55" s="252">
        <f>IF(ISERROR(VLOOKUP($B55,DATEN!$A$3:$D$10,2,FALSE)),"",VLOOKUP($B55,DATEN!$A$3:$D$10,2,FALSE))</f>
        <v>0</v>
      </c>
      <c r="E55" s="252"/>
      <c r="F55" s="12">
        <f>IF(ISERROR(VLOOKUP($B55,DATEN!$A$3:$D$10,3,FALSE)),"",VLOOKUP($B55,DATEN!$A$3:$D$10,3,FALSE))</f>
        <v>0</v>
      </c>
      <c r="G55"/>
      <c r="H55"/>
      <c r="K55" s="265">
        <f>$F$22</f>
        <v>0</v>
      </c>
      <c r="L55" s="265"/>
    </row>
    <row r="56" spans="1:14" x14ac:dyDescent="0.2">
      <c r="A56" s="12">
        <v>2</v>
      </c>
      <c r="B56" s="9">
        <f>VLOOKUP(A17,'Bestellung Commande'!A27:O65,12,FALSE)</f>
        <v>0</v>
      </c>
      <c r="C56" s="9"/>
      <c r="D56" s="252">
        <f>IF(ISERROR(VLOOKUP($B56,DATEN!$A$3:$D$10,2,FALSE)),"",VLOOKUP($B56,DATEN!$A$3:$D$10,2,FALSE))</f>
        <v>0</v>
      </c>
      <c r="E56" s="252"/>
      <c r="F56" s="9">
        <f>IF(ISERROR(VLOOKUP($B56,DATEN!$A$3:$D$10,3,FALSE)),"",VLOOKUP($B56,DATEN!$A$3:$D$10,3,FALSE))</f>
        <v>0</v>
      </c>
      <c r="G56"/>
      <c r="H56"/>
      <c r="K56" s="265">
        <f t="shared" ref="K56:K58" si="8">$F$22</f>
        <v>0</v>
      </c>
      <c r="L56" s="265"/>
    </row>
    <row r="57" spans="1:14" x14ac:dyDescent="0.2">
      <c r="A57" s="12">
        <v>3</v>
      </c>
      <c r="B57" s="9">
        <f>VLOOKUP(A17,'Bestellung Commande'!A27:O65,13,FALSE)</f>
        <v>0</v>
      </c>
      <c r="C57" s="9"/>
      <c r="D57" s="252">
        <f>IF(ISERROR(VLOOKUP($B57,DATEN!$A$3:$D$10,2,FALSE)),"",VLOOKUP($B57,DATEN!$A$3:$D$10,2,FALSE))</f>
        <v>0</v>
      </c>
      <c r="E57" s="252"/>
      <c r="F57" s="9">
        <f>IF(ISERROR(VLOOKUP($B57,DATEN!$A$3:$D$10,3,FALSE)),"",VLOOKUP($B57,DATEN!$A$3:$D$10,3,FALSE))</f>
        <v>0</v>
      </c>
      <c r="K57" s="265">
        <f t="shared" si="8"/>
        <v>0</v>
      </c>
      <c r="L57" s="265"/>
    </row>
    <row r="58" spans="1:14" x14ac:dyDescent="0.2">
      <c r="A58" s="12">
        <v>4</v>
      </c>
      <c r="B58" s="9">
        <f>VLOOKUP(A17,'Bestellung Commande'!A27:O65,14,FALSE)</f>
        <v>0</v>
      </c>
      <c r="C58" s="9"/>
      <c r="D58" s="252">
        <f>IF(ISERROR(VLOOKUP($B58,DATEN!$A$3:$D$10,2,FALSE)),"",VLOOKUP($B58,DATEN!$A$3:$D$10,2,FALSE))</f>
        <v>0</v>
      </c>
      <c r="E58" s="252"/>
      <c r="F58" s="9">
        <f>IF(ISERROR(VLOOKUP($B58,DATEN!$A$3:$D$10,3,FALSE)),"",VLOOKUP($B58,DATEN!$A$3:$D$10,3,FALSE))</f>
        <v>0</v>
      </c>
      <c r="K58" s="265">
        <f t="shared" si="8"/>
        <v>0</v>
      </c>
      <c r="L58" s="265"/>
      <c r="N58" s="46">
        <f>'Bestellung Commande'!B44</f>
        <v>0</v>
      </c>
    </row>
  </sheetData>
  <sheetProtection algorithmName="SHA-512" hashValue="DPIqhu1MzW71BnlyzOtdweuW50sG8UFtsZnP/GWlACjRNFOSkUQrEh/r8F8eGdTMX4FxodxbYruE23yfVdwAVg==" saltValue="9qlVX1X6+G/RJO05QnPW0Q==" spinCount="100000" sheet="1" objects="1" scenarios="1"/>
  <mergeCells count="52">
    <mergeCell ref="D57:E57"/>
    <mergeCell ref="K57:L57"/>
    <mergeCell ref="D58:E58"/>
    <mergeCell ref="K58:L58"/>
    <mergeCell ref="A53:L53"/>
    <mergeCell ref="D54:E54"/>
    <mergeCell ref="K54:L54"/>
    <mergeCell ref="D55:E55"/>
    <mergeCell ref="K55:L55"/>
    <mergeCell ref="D56:E56"/>
    <mergeCell ref="K56:L56"/>
    <mergeCell ref="A40:L40"/>
    <mergeCell ref="A13:B13"/>
    <mergeCell ref="D13:F13"/>
    <mergeCell ref="A14:B14"/>
    <mergeCell ref="D14:F14"/>
    <mergeCell ref="B16:C16"/>
    <mergeCell ref="I16:L16"/>
    <mergeCell ref="B17:C17"/>
    <mergeCell ref="A20:N20"/>
    <mergeCell ref="A24:N24"/>
    <mergeCell ref="A29:N29"/>
    <mergeCell ref="A34:N34"/>
    <mergeCell ref="A10:B10"/>
    <mergeCell ref="D10:F10"/>
    <mergeCell ref="G10:N11"/>
    <mergeCell ref="A11:F11"/>
    <mergeCell ref="A12:B12"/>
    <mergeCell ref="D12:F12"/>
    <mergeCell ref="A6:B6"/>
    <mergeCell ref="D6:F6"/>
    <mergeCell ref="G6:N6"/>
    <mergeCell ref="A7:F7"/>
    <mergeCell ref="G7:N9"/>
    <mergeCell ref="A8:B8"/>
    <mergeCell ref="D8:F8"/>
    <mergeCell ref="A9:B9"/>
    <mergeCell ref="D9:F9"/>
    <mergeCell ref="D4:F4"/>
    <mergeCell ref="G4:J4"/>
    <mergeCell ref="K4:N4"/>
    <mergeCell ref="A5:B5"/>
    <mergeCell ref="D5:F5"/>
    <mergeCell ref="G5:J5"/>
    <mergeCell ref="K5:N5"/>
    <mergeCell ref="A1:N1"/>
    <mergeCell ref="A2:F2"/>
    <mergeCell ref="G2:N2"/>
    <mergeCell ref="A3:B3"/>
    <mergeCell ref="D3:F3"/>
    <mergeCell ref="G3:J3"/>
    <mergeCell ref="K3:N3"/>
  </mergeCells>
  <printOptions horizontalCentered="1"/>
  <pageMargins left="0.27" right="0.31" top="0.74803149606299213" bottom="0.74803149606299213" header="0.31496062992125984" footer="0.31496062992125984"/>
  <pageSetup paperSize="9" scale="87" orientation="portrait" r:id="rId1"/>
  <headerFooter>
    <oddHeader>&amp;R&amp;G</oddHeader>
    <oddFooter>&amp;LDuckdatum: &amp;D
&amp;F&amp;R&amp;P/&amp;N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26CD17F-7FA7-4283-AA35-BC7F280C2F9F}">
          <x14:formula1>
            <xm:f>DATEN!$I$1:$J$1</xm:f>
          </x14:formula1>
          <xm:sqref>K3:N3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CF2A4-173B-4D0F-BED8-C0596851CBAA}">
  <sheetPr codeName="Tabelle17"/>
  <dimension ref="A1:X58"/>
  <sheetViews>
    <sheetView view="pageBreakPreview" topLeftCell="A3" zoomScaleNormal="120" zoomScaleSheetLayoutView="100" workbookViewId="0">
      <selection activeCell="A12" sqref="A12:B12"/>
    </sheetView>
  </sheetViews>
  <sheetFormatPr baseColWidth="10" defaultColWidth="11" defaultRowHeight="14.25" x14ac:dyDescent="0.2"/>
  <cols>
    <col min="1" max="3" width="8.875" customWidth="1"/>
    <col min="4" max="5" width="6.5" customWidth="1"/>
    <col min="6" max="6" width="10.625" customWidth="1"/>
    <col min="7" max="7" width="8.75" style="9" customWidth="1"/>
    <col min="8" max="8" width="8.875" style="9" customWidth="1"/>
    <col min="9" max="9" width="4.875" style="9" customWidth="1"/>
    <col min="10" max="10" width="8.75" customWidth="1"/>
    <col min="11" max="11" width="4.5" style="9" customWidth="1"/>
    <col min="12" max="13" width="4.5" customWidth="1"/>
    <col min="14" max="14" width="4.5" style="9" customWidth="1"/>
  </cols>
  <sheetData>
    <row r="1" spans="1:18" ht="23.25" x14ac:dyDescent="0.2">
      <c r="A1" s="238" t="s">
        <v>9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1:18" ht="15" x14ac:dyDescent="0.25">
      <c r="A2" s="253" t="s">
        <v>0</v>
      </c>
      <c r="B2" s="254"/>
      <c r="C2" s="254"/>
      <c r="D2" s="254"/>
      <c r="E2" s="254"/>
      <c r="F2" s="255"/>
      <c r="G2" s="161" t="s">
        <v>1</v>
      </c>
      <c r="H2" s="162"/>
      <c r="I2" s="162"/>
      <c r="J2" s="162"/>
      <c r="K2" s="162"/>
      <c r="L2" s="162"/>
      <c r="M2" s="162"/>
      <c r="N2" s="162"/>
    </row>
    <row r="3" spans="1:18" ht="15" x14ac:dyDescent="0.25">
      <c r="A3" s="165" t="str">
        <f>VLOOKUP(DATEN!I2,DATEN!$I$1:$J$39,IF($K$3="Deutsch", 1, 2),FALSE)</f>
        <v>Kunde Name:</v>
      </c>
      <c r="B3" s="167"/>
      <c r="C3" s="11"/>
      <c r="D3" s="212">
        <f>'Bestellung Commande'!C2</f>
        <v>0</v>
      </c>
      <c r="E3" s="212"/>
      <c r="F3" s="212"/>
      <c r="G3" s="256" t="s">
        <v>2</v>
      </c>
      <c r="H3" s="257"/>
      <c r="I3" s="257"/>
      <c r="J3" s="258"/>
      <c r="K3" s="259" t="s">
        <v>3</v>
      </c>
      <c r="L3" s="260"/>
      <c r="M3" s="260"/>
      <c r="N3" s="261"/>
    </row>
    <row r="4" spans="1:18" ht="15" x14ac:dyDescent="0.25">
      <c r="A4" s="10" t="str">
        <f>VLOOKUP(DATEN!I3,DATEN!$I$1:$J$39,IF($K$3="Deutsch", 1, 2),FALSE)</f>
        <v>Kontaktperson:</v>
      </c>
      <c r="B4" s="11"/>
      <c r="C4" s="11"/>
      <c r="D4" s="212">
        <f>'Bestellung Commande'!C3</f>
        <v>0</v>
      </c>
      <c r="E4" s="212"/>
      <c r="F4" s="212"/>
      <c r="G4" s="256" t="str">
        <f>VLOOKUP(DATEN!I9,DATEN!$I$1:$J$39,IF($K$3="Deutsch", 1, 2),FALSE)</f>
        <v>Bestelldatum:</v>
      </c>
      <c r="H4" s="257"/>
      <c r="I4" s="257"/>
      <c r="J4" s="258"/>
      <c r="K4" s="263">
        <f>'Bestellung Commande'!L3</f>
        <v>0</v>
      </c>
      <c r="L4" s="260"/>
      <c r="M4" s="260"/>
      <c r="N4" s="261"/>
    </row>
    <row r="5" spans="1:18" ht="15" x14ac:dyDescent="0.25">
      <c r="A5" s="165" t="str">
        <f>VLOOKUP(DATEN!I4,DATEN!$I$1:$J$39,IF($K$3="Deutsch", 1, 2),FALSE)</f>
        <v>Kommision:</v>
      </c>
      <c r="B5" s="167"/>
      <c r="C5" s="11"/>
      <c r="D5" s="212">
        <f>'Bestellung Commande'!C4</f>
        <v>0</v>
      </c>
      <c r="E5" s="212"/>
      <c r="F5" s="212"/>
      <c r="G5" s="256" t="str">
        <f>VLOOKUP(DATEN!I10,DATEN!$I$1:$J$39,IF($K$3="Deutsch", 1, 2),FALSE)</f>
        <v>Wunsch Liefertermin:</v>
      </c>
      <c r="H5" s="257"/>
      <c r="I5" s="257"/>
      <c r="J5" s="258"/>
      <c r="K5" s="263">
        <f>'Bestellung Commande'!L4</f>
        <v>0</v>
      </c>
      <c r="L5" s="260"/>
      <c r="M5" s="260"/>
      <c r="N5" s="261"/>
    </row>
    <row r="6" spans="1:18" ht="15" x14ac:dyDescent="0.25">
      <c r="A6" s="165" t="str">
        <f>VLOOKUP(DATEN!I5,DATEN!$I$1:$J$39,IF($K$3="Deutsch", 1, 2),FALSE)</f>
        <v>Kontakt Telefon:</v>
      </c>
      <c r="B6" s="167"/>
      <c r="C6" s="11"/>
      <c r="D6" s="212">
        <f>'Bestellung Commande'!C5</f>
        <v>0</v>
      </c>
      <c r="E6" s="212"/>
      <c r="F6" s="212"/>
      <c r="G6" s="163" t="str">
        <f>VLOOKUP(DATEN!I11,DATEN!$I$1:$J$39,IF($K$3="Deutsch", 1, 2),FALSE)</f>
        <v>Bemerkung:</v>
      </c>
      <c r="H6" s="164"/>
      <c r="I6" s="164"/>
      <c r="J6" s="164"/>
      <c r="K6" s="164"/>
      <c r="L6" s="164"/>
      <c r="M6" s="164"/>
      <c r="N6" s="164"/>
    </row>
    <row r="7" spans="1:18" ht="15" x14ac:dyDescent="0.25">
      <c r="A7" s="264" t="s">
        <v>4</v>
      </c>
      <c r="B7" s="264"/>
      <c r="C7" s="264"/>
      <c r="D7" s="264"/>
      <c r="E7" s="264"/>
      <c r="F7" s="264"/>
      <c r="G7" s="225" t="str">
        <f>VLOOKUP(DATEN!I11,DATEN!$I$1:$J$39,IF($K$3="Deutsch", 1, 2),FALSE)</f>
        <v>Bemerkung:</v>
      </c>
      <c r="H7" s="225"/>
      <c r="I7" s="225"/>
      <c r="J7" s="225"/>
      <c r="K7" s="225"/>
      <c r="L7" s="225"/>
      <c r="M7" s="225"/>
      <c r="N7" s="225"/>
    </row>
    <row r="8" spans="1:18" ht="15" x14ac:dyDescent="0.25">
      <c r="A8" s="165" t="str">
        <f>VLOOKUP(DATEN!I6,DATEN!$I$1:$J$39,IF($K$3="Deutsch", 1, 2),FALSE)</f>
        <v>Strasse:</v>
      </c>
      <c r="B8" s="167"/>
      <c r="C8" s="11"/>
      <c r="D8" s="212">
        <f>'Bestellung Commande'!C8</f>
        <v>0</v>
      </c>
      <c r="E8" s="212"/>
      <c r="F8" s="212"/>
      <c r="G8" s="225"/>
      <c r="H8" s="225"/>
      <c r="I8" s="225"/>
      <c r="J8" s="225"/>
      <c r="K8" s="225"/>
      <c r="L8" s="225"/>
      <c r="M8" s="225"/>
      <c r="N8" s="225"/>
    </row>
    <row r="9" spans="1:18" ht="15" x14ac:dyDescent="0.25">
      <c r="A9" s="165" t="str">
        <f>VLOOKUP(DATEN!I7,DATEN!$I$1:$J$39,IF($K$3="Deutsch", 1, 2),FALSE)</f>
        <v>PLZ Ort:</v>
      </c>
      <c r="B9" s="167"/>
      <c r="C9" s="11"/>
      <c r="D9" s="212">
        <f>'Bestellung Commande'!C9</f>
        <v>0</v>
      </c>
      <c r="E9" s="212"/>
      <c r="F9" s="212"/>
      <c r="G9" s="225"/>
      <c r="H9" s="225"/>
      <c r="I9" s="225"/>
      <c r="J9" s="225"/>
      <c r="K9" s="225"/>
      <c r="L9" s="225"/>
      <c r="M9" s="225"/>
      <c r="N9" s="225"/>
    </row>
    <row r="10" spans="1:18" ht="15" customHeight="1" x14ac:dyDescent="0.25">
      <c r="A10" s="165" t="str">
        <f>VLOOKUP(DATEN!I8,DATEN!$I$1:$J$39,IF($K$3="Deutsch", 1, 2),FALSE)</f>
        <v>Kontakt:</v>
      </c>
      <c r="B10" s="167"/>
      <c r="C10" s="11"/>
      <c r="D10" s="212">
        <f>'Bestellung Commande'!C10</f>
        <v>0</v>
      </c>
      <c r="E10" s="212"/>
      <c r="F10" s="212"/>
      <c r="G10" s="262" t="str">
        <f>IF(VLOOKUP($A$17,'Bestellung Commande'!$A$27:$O$65,10,FALSE)&lt;&gt;"","Sonderbau!!!","")</f>
        <v/>
      </c>
      <c r="H10" s="262"/>
      <c r="I10" s="262"/>
      <c r="J10" s="262"/>
      <c r="K10" s="262"/>
      <c r="L10" s="262"/>
      <c r="M10" s="262"/>
      <c r="N10" s="262"/>
    </row>
    <row r="11" spans="1:18" ht="15" customHeight="1" x14ac:dyDescent="0.25">
      <c r="A11" s="264" t="s">
        <v>5</v>
      </c>
      <c r="B11" s="264"/>
      <c r="C11" s="264"/>
      <c r="D11" s="264"/>
      <c r="E11" s="264"/>
      <c r="F11" s="264"/>
      <c r="G11" s="262"/>
      <c r="H11" s="262"/>
      <c r="I11" s="262"/>
      <c r="J11" s="262"/>
      <c r="K11" s="262"/>
      <c r="L11" s="262"/>
      <c r="M11" s="262"/>
      <c r="N11" s="262"/>
    </row>
    <row r="12" spans="1:18" ht="15" customHeight="1" x14ac:dyDescent="0.4">
      <c r="A12" s="165" t="str">
        <f>VLOOKUP(DATEN!I6,DATEN!$I$1:$J$39,IF($K$3="Deutsch", 1, 2),FALSE)</f>
        <v>Strasse:</v>
      </c>
      <c r="B12" s="167"/>
      <c r="C12" s="11"/>
      <c r="D12" s="212">
        <f>'Bestellung Commande'!C12</f>
        <v>0</v>
      </c>
      <c r="E12" s="212"/>
      <c r="F12" s="212"/>
      <c r="G12" s="146"/>
      <c r="H12" s="146"/>
      <c r="I12" s="146"/>
      <c r="J12" s="146"/>
      <c r="K12" s="146"/>
      <c r="L12" s="146"/>
      <c r="M12" s="146"/>
      <c r="N12" s="146"/>
    </row>
    <row r="13" spans="1:18" ht="15" customHeight="1" x14ac:dyDescent="0.4">
      <c r="A13" s="165" t="str">
        <f>VLOOKUP(DATEN!I7,DATEN!$I$1:$J$39,IF($K$3="Deutsch", 1, 2),FALSE)</f>
        <v>PLZ Ort:</v>
      </c>
      <c r="B13" s="167"/>
      <c r="C13" s="11"/>
      <c r="D13" s="212">
        <f>'Bestellung Commande'!C13</f>
        <v>0</v>
      </c>
      <c r="E13" s="212"/>
      <c r="F13" s="212"/>
      <c r="G13" s="146"/>
      <c r="H13" s="146"/>
      <c r="I13" s="146"/>
      <c r="J13" s="146"/>
      <c r="K13" s="146"/>
      <c r="L13" s="146"/>
      <c r="M13" s="146"/>
      <c r="N13" s="146"/>
    </row>
    <row r="14" spans="1:18" ht="15" customHeight="1" x14ac:dyDescent="0.4">
      <c r="A14" s="165" t="str">
        <f>VLOOKUP(DATEN!I8,DATEN!$I$1:$J$39,IF($K$3="Deutsch", 1, 2),FALSE)</f>
        <v>Kontakt:</v>
      </c>
      <c r="B14" s="167"/>
      <c r="C14" s="11"/>
      <c r="D14" s="212">
        <f>'Bestellung Commande'!C14</f>
        <v>0</v>
      </c>
      <c r="E14" s="212"/>
      <c r="F14" s="212"/>
      <c r="G14" s="146"/>
      <c r="H14" s="146"/>
      <c r="I14" s="146"/>
      <c r="J14" s="146"/>
      <c r="K14" s="146"/>
      <c r="L14" s="146"/>
      <c r="M14" s="146"/>
      <c r="N14" s="146"/>
    </row>
    <row r="15" spans="1:18" ht="15.75" thickBot="1" x14ac:dyDescent="0.3">
      <c r="A15" s="140" t="str">
        <f>'Bestellung Commande'!A67</f>
        <v>V9.5</v>
      </c>
      <c r="B15" s="14"/>
      <c r="C15" s="14"/>
      <c r="D15" s="15"/>
      <c r="E15" s="15"/>
      <c r="F15" s="15"/>
      <c r="G15" s="13"/>
      <c r="H15" s="13"/>
      <c r="I15" s="13"/>
      <c r="J15" s="13"/>
      <c r="K15" s="13"/>
      <c r="L15" s="13"/>
      <c r="M15" s="16">
        <f>'Bestellung Commande'!N24</f>
        <v>73</v>
      </c>
      <c r="N15" s="13"/>
      <c r="O15" s="20" t="s">
        <v>220</v>
      </c>
      <c r="P15" s="9"/>
      <c r="Q15" s="9"/>
      <c r="R15" s="9"/>
    </row>
    <row r="16" spans="1:18" s="19" customFormat="1" ht="28.5" customHeight="1" x14ac:dyDescent="0.2">
      <c r="A16" s="17" t="s">
        <v>216</v>
      </c>
      <c r="B16" s="176" t="str">
        <f>VLOOKUP(DATEN!I14,DATEN!$I$1:$J$39,IF($K$3="Deutsch", 1, 2),FALSE)</f>
        <v>Anz.
Flügel</v>
      </c>
      <c r="C16" s="176"/>
      <c r="D16" s="17" t="str">
        <f>VLOOKUP(DATEN!I15,DATEN!$I$1:$J$39,IF($K$3="Deutsch", 1, 2),FALSE)</f>
        <v>Stk Schw.</v>
      </c>
      <c r="E16" s="17" t="str">
        <f>VLOOKUP(DATEN!I16,DATEN!$I$1:$J$39,IF($K$3="Deutsch", 1, 2),FALSE)</f>
        <v>RA</v>
      </c>
      <c r="F16" s="17" t="str">
        <f>VLOOKUP(DATEN!I17,DATEN!$I$1:$J$39,IF($K$3="Deutsch", 1, 2),FALSE)</f>
        <v>RBL 
(min45)</v>
      </c>
      <c r="G16" s="17" t="str">
        <f>VLOOKUP(DATEN!I18,DATEN!$I$1:$J$39,IF($K$3="Deutsch", 1, 2),FALSE)</f>
        <v>RBR 
(min45)</v>
      </c>
      <c r="H16" s="17"/>
      <c r="I16" s="184" t="str">
        <f>VLOOKUP(DATEN!I19,DATEN!$I$1:$J$39,IF($K$3="Deutsch", 1, 2),FALSE)</f>
        <v>Verbreiterungen</v>
      </c>
      <c r="J16" s="185"/>
      <c r="K16" s="185"/>
      <c r="L16" s="185"/>
      <c r="M16" s="18" t="str">
        <f>VLOOKUP(DATEN!I20,DATEN!$I$1:$J$39,IF($K$3="Deutsch",1,2),FALSE)</f>
        <v>Total</v>
      </c>
      <c r="N16" s="17"/>
      <c r="O16" s="20" t="str">
        <f>E25</f>
        <v>Profil</v>
      </c>
      <c r="P16" s="20" t="str">
        <f>A26</f>
        <v>Links</v>
      </c>
      <c r="Q16" s="20" t="str">
        <f>A27</f>
        <v>Rechts</v>
      </c>
      <c r="R16" s="20" t="str">
        <f>A28</f>
        <v>Mittelteil</v>
      </c>
    </row>
    <row r="17" spans="1:24" ht="15" thickBot="1" x14ac:dyDescent="0.25">
      <c r="A17" s="41">
        <v>14</v>
      </c>
      <c r="B17" s="268">
        <f>VLOOKUP($A$17,'Bestellung Commande'!$A$27:$O$65,3,FALSE)</f>
        <v>0</v>
      </c>
      <c r="C17" s="268"/>
      <c r="D17" s="41">
        <f>VLOOKUP($A$17,'Bestellung Commande'!$A$27:$O$65,5,FALSE)</f>
        <v>0</v>
      </c>
      <c r="E17" s="41">
        <f>VLOOKUP($A$17,'Bestellung Commande'!$A$27:$O$65,6,FALSE)</f>
        <v>0</v>
      </c>
      <c r="F17" s="41">
        <f>VLOOKUP($A$17,'Bestellung Commande'!$A$27:$O$65,7,FALSE)</f>
        <v>0</v>
      </c>
      <c r="G17" s="41">
        <f>VLOOKUP($A$17,'Bestellung Commande'!$A$27:$O$65,8,FALSE)</f>
        <v>0</v>
      </c>
      <c r="H17" s="41">
        <f>VLOOKUP($A$17,'Bestellung Commande'!$A$27:$O$65,9,FALSE)</f>
        <v>0</v>
      </c>
      <c r="I17" s="22">
        <f>VLOOKUP($A$17,'Bestellung Commande'!$A$27:$O$65,10,FALSE)</f>
        <v>0</v>
      </c>
      <c r="J17" s="23">
        <f>VLOOKUP($A$17,'Bestellung Commande'!$A$27:$O$65,11,FALSE)</f>
        <v>0</v>
      </c>
      <c r="K17" s="23">
        <f>VLOOKUP($A$17,'Bestellung Commande'!$A$27:$O$65,12,FALSE)</f>
        <v>0</v>
      </c>
      <c r="L17" s="23">
        <f>VLOOKUP($A$17,'Bestellung Commande'!$A$27:$O$65,13,FALSE)</f>
        <v>0</v>
      </c>
      <c r="M17" s="125">
        <f>VLOOKUP($A$17,'Bestellung Commande'!$A$27:$O$65,14,FALSE)</f>
        <v>0</v>
      </c>
      <c r="N17" s="24"/>
      <c r="O17" s="9" t="str">
        <f>F25</f>
        <v>C298927</v>
      </c>
      <c r="P17" s="29">
        <f>F26</f>
        <v>20</v>
      </c>
      <c r="Q17" s="29">
        <f>F27</f>
        <v>20</v>
      </c>
      <c r="R17" s="29">
        <f>F28</f>
        <v>-42</v>
      </c>
    </row>
    <row r="18" spans="1:24" x14ac:dyDescent="0.2">
      <c r="B18" s="41" cm="1">
        <f t="array" ref="B18">INDEX('Bestellung Commande'!$C$27:$C$66, MATCH($A$17, 'Bestellung Commande'!$A$27:$A$66, 0) + 1)</f>
        <v>0</v>
      </c>
      <c r="C18" s="41" cm="1">
        <f t="array" ref="C18">INDEX('Bestellung Commande'!$D$27:$D$66, MATCH($A$17, 'Bestellung Commande'!$A$27:$A$66, 0) + 1)</f>
        <v>0</v>
      </c>
    </row>
    <row r="20" spans="1:24" ht="15" x14ac:dyDescent="0.25">
      <c r="A20" s="267" t="s">
        <v>10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</row>
    <row r="21" spans="1:24" ht="15" x14ac:dyDescent="0.25">
      <c r="E21" s="25" t="s">
        <v>11</v>
      </c>
      <c r="F21" s="9" t="s">
        <v>12</v>
      </c>
      <c r="G21"/>
      <c r="H21"/>
      <c r="I21"/>
    </row>
    <row r="22" spans="1:24" x14ac:dyDescent="0.2">
      <c r="E22" t="s">
        <v>13</v>
      </c>
      <c r="F22" s="26">
        <f>E17</f>
        <v>0</v>
      </c>
      <c r="G22"/>
      <c r="H22"/>
      <c r="I22"/>
    </row>
    <row r="23" spans="1:24" x14ac:dyDescent="0.2">
      <c r="F23" s="9">
        <f>B17</f>
        <v>0</v>
      </c>
      <c r="G23"/>
      <c r="H23"/>
      <c r="I23"/>
    </row>
    <row r="24" spans="1:24" ht="15" x14ac:dyDescent="0.25">
      <c r="A24" s="267" t="s">
        <v>14</v>
      </c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</row>
    <row r="25" spans="1:24" ht="15" x14ac:dyDescent="0.25">
      <c r="E25" s="25" t="s">
        <v>11</v>
      </c>
      <c r="F25" s="9" t="s">
        <v>15</v>
      </c>
      <c r="G25"/>
      <c r="H25"/>
      <c r="I25"/>
    </row>
    <row r="26" spans="1:24" x14ac:dyDescent="0.2">
      <c r="A26" t="s">
        <v>16</v>
      </c>
      <c r="E26" t="s">
        <v>13</v>
      </c>
      <c r="F26" s="26">
        <f>F17+20</f>
        <v>20</v>
      </c>
      <c r="G26"/>
      <c r="H26"/>
      <c r="I26"/>
      <c r="W26" s="121" t="s">
        <v>208</v>
      </c>
      <c r="X26" s="122">
        <f>F37-F36</f>
        <v>-100</v>
      </c>
    </row>
    <row r="27" spans="1:24" x14ac:dyDescent="0.2">
      <c r="A27" t="s">
        <v>17</v>
      </c>
      <c r="E27" t="s">
        <v>13</v>
      </c>
      <c r="F27" s="26">
        <f>G17+20</f>
        <v>20</v>
      </c>
      <c r="G27"/>
      <c r="H27"/>
      <c r="I27"/>
      <c r="W27" t="s">
        <v>209</v>
      </c>
      <c r="X27">
        <f>[1]DATEN!D14</f>
        <v>300</v>
      </c>
    </row>
    <row r="28" spans="1:24" x14ac:dyDescent="0.2">
      <c r="A28" t="s">
        <v>18</v>
      </c>
      <c r="E28" t="s">
        <v>13</v>
      </c>
      <c r="F28" s="26">
        <f>(E17-(F26+F27))-2</f>
        <v>-42</v>
      </c>
      <c r="G28"/>
      <c r="H28"/>
      <c r="I28"/>
      <c r="P28" t="s">
        <v>293</v>
      </c>
      <c r="T28" t="s">
        <v>294</v>
      </c>
      <c r="W28" t="s">
        <v>210</v>
      </c>
      <c r="X28">
        <f>ROUNDUP(X26/X27,0)</f>
        <v>-1</v>
      </c>
    </row>
    <row r="29" spans="1:24" ht="15" x14ac:dyDescent="0.25">
      <c r="A29" s="267" t="s">
        <v>19</v>
      </c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7" t="str">
        <f t="shared" ref="O29:O39" si="0">IF(AND($F$32&gt;=Q29,$F$32&lt;R29),P29,"")</f>
        <v/>
      </c>
      <c r="P29" s="28" t="str">
        <f>" "</f>
        <v xml:space="preserve"> </v>
      </c>
      <c r="Q29" s="28">
        <v>-1000000</v>
      </c>
      <c r="R29" s="28">
        <v>0</v>
      </c>
      <c r="S29" s="27" t="str">
        <f t="shared" ref="S29:S39" si="1">IF(AND($G$32&gt;=U29,$G$32&lt;V29),T29,"")</f>
        <v/>
      </c>
      <c r="T29" s="28" t="str">
        <f t="shared" ref="T29:T30" si="2">P29</f>
        <v xml:space="preserve"> </v>
      </c>
      <c r="U29" s="28">
        <f t="shared" ref="U29:U30" si="3">Q29</f>
        <v>-1000000</v>
      </c>
      <c r="V29" s="28">
        <f t="shared" ref="V29:V30" si="4">R29</f>
        <v>0</v>
      </c>
      <c r="W29" t="s">
        <v>211</v>
      </c>
      <c r="X29">
        <f>X26/X28</f>
        <v>100</v>
      </c>
    </row>
    <row r="30" spans="1:24" ht="15" x14ac:dyDescent="0.25">
      <c r="F30" s="25" t="s">
        <v>293</v>
      </c>
      <c r="G30" s="25" t="s">
        <v>294</v>
      </c>
      <c r="H30"/>
      <c r="I30"/>
      <c r="K30"/>
      <c r="N30"/>
      <c r="O30" s="27" t="str">
        <f t="shared" si="0"/>
        <v/>
      </c>
      <c r="P30" s="28"/>
      <c r="Q30" s="28">
        <v>0.1</v>
      </c>
      <c r="R30" s="28">
        <v>247.9</v>
      </c>
      <c r="S30" s="27" t="str">
        <f t="shared" si="1"/>
        <v/>
      </c>
      <c r="T30" s="28">
        <f t="shared" si="2"/>
        <v>0</v>
      </c>
      <c r="U30" s="28">
        <f t="shared" si="3"/>
        <v>0.1</v>
      </c>
      <c r="V30" s="28">
        <f t="shared" si="4"/>
        <v>247.9</v>
      </c>
    </row>
    <row r="31" spans="1:24" x14ac:dyDescent="0.2">
      <c r="F31" s="9" t="str">
        <f>O29&amp;O31&amp;O32&amp;O33&amp;O34&amp;O35&amp;O36&amp;O37&amp;O38&amp;O39</f>
        <v/>
      </c>
      <c r="G31" s="9" t="str">
        <f>S29&amp;S31&amp;S32&amp;S33&amp;S34&amp;S35&amp;S36&amp;S37&amp;S38&amp;S39</f>
        <v/>
      </c>
      <c r="I31"/>
      <c r="O31" s="27" t="str">
        <f t="shared" si="0"/>
        <v/>
      </c>
      <c r="P31" s="28" t="str">
        <f>DATEN!M7</f>
        <v>C555366</v>
      </c>
      <c r="Q31" s="28">
        <f>DATEN!N7</f>
        <v>275</v>
      </c>
      <c r="R31" s="28">
        <f>DATEN!O7</f>
        <v>400</v>
      </c>
      <c r="S31" s="27" t="str">
        <f t="shared" si="1"/>
        <v/>
      </c>
      <c r="T31" s="28" t="str">
        <f>P31</f>
        <v>C555366</v>
      </c>
      <c r="U31" s="28">
        <f t="shared" ref="U31:V39" si="5">Q31</f>
        <v>275</v>
      </c>
      <c r="V31" s="28">
        <f t="shared" si="5"/>
        <v>400</v>
      </c>
      <c r="W31">
        <v>1</v>
      </c>
      <c r="X31" s="29">
        <f>F36</f>
        <v>50</v>
      </c>
    </row>
    <row r="32" spans="1:24" x14ac:dyDescent="0.2">
      <c r="A32" t="s">
        <v>13</v>
      </c>
      <c r="F32" s="26" t="b">
        <f>IF(AND(B17=1,B18=0),H17,IF(AND(B17=1,B18&gt;0),B18,IF(AND(B17=2,B18=0),(H17-20)/2,IF(AND(B17=2,B18&gt;0),B18))))</f>
        <v>0</v>
      </c>
      <c r="G32" s="26">
        <f>IF(B17=1,0,IF(AND(B17=2,C18=0),0,C18))</f>
        <v>0</v>
      </c>
      <c r="I32"/>
      <c r="O32" s="27" t="str">
        <f t="shared" si="0"/>
        <v/>
      </c>
      <c r="P32" s="28" t="str">
        <f>DATEN!M8</f>
        <v>C555367</v>
      </c>
      <c r="Q32" s="28">
        <f>DATEN!N8</f>
        <v>400</v>
      </c>
      <c r="R32" s="28">
        <f>DATEN!O8</f>
        <v>550</v>
      </c>
      <c r="S32" s="27" t="str">
        <f t="shared" si="1"/>
        <v/>
      </c>
      <c r="T32" s="28" t="str">
        <f t="shared" ref="T32:T39" si="6">P32</f>
        <v>C555367</v>
      </c>
      <c r="U32" s="28">
        <f t="shared" si="5"/>
        <v>400</v>
      </c>
      <c r="V32" s="28">
        <f t="shared" si="5"/>
        <v>550</v>
      </c>
      <c r="W32">
        <v>2</v>
      </c>
      <c r="X32" s="29">
        <f>ROUND(IF(W32-1&gt;$X$28,0,X31+$X$29),0)</f>
        <v>0</v>
      </c>
    </row>
    <row r="33" spans="1:24" x14ac:dyDescent="0.2">
      <c r="A33" t="s">
        <v>23</v>
      </c>
      <c r="F33" s="30">
        <f>IF(AND(B17=2,B18=0),B17,1)*D17</f>
        <v>0</v>
      </c>
      <c r="G33" s="30">
        <f>IF(G32&gt;0,1,0)*D17</f>
        <v>0</v>
      </c>
      <c r="I33"/>
      <c r="O33" s="27" t="str">
        <f t="shared" si="0"/>
        <v/>
      </c>
      <c r="P33" s="28" t="str">
        <f>DATEN!M9</f>
        <v>C555368</v>
      </c>
      <c r="Q33" s="28">
        <f>DATEN!N9</f>
        <v>550</v>
      </c>
      <c r="R33" s="28">
        <f>DATEN!O9</f>
        <v>700</v>
      </c>
      <c r="S33" s="27" t="str">
        <f t="shared" si="1"/>
        <v/>
      </c>
      <c r="T33" s="28" t="str">
        <f t="shared" si="6"/>
        <v>C555368</v>
      </c>
      <c r="U33" s="28">
        <f t="shared" si="5"/>
        <v>550</v>
      </c>
      <c r="V33" s="28">
        <f t="shared" si="5"/>
        <v>700</v>
      </c>
      <c r="W33">
        <v>3</v>
      </c>
      <c r="X33" s="29">
        <f t="shared" ref="X33:X40" si="7">ROUND(IF(W33-1&gt;$X$28,0,X32+$X$29),0)</f>
        <v>0</v>
      </c>
    </row>
    <row r="34" spans="1:24" ht="15" x14ac:dyDescent="0.25">
      <c r="A34" s="267" t="s">
        <v>25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7" t="str">
        <f>IF(AND($F$32&gt;=Q34,$F$32&lt;R34),P34,"")</f>
        <v/>
      </c>
      <c r="P34" s="28" t="str">
        <f>DATEN!M10</f>
        <v>C555369</v>
      </c>
      <c r="Q34" s="28">
        <f>DATEN!N10</f>
        <v>700</v>
      </c>
      <c r="R34" s="28">
        <f>DATEN!O10</f>
        <v>850</v>
      </c>
      <c r="S34" s="27" t="str">
        <f t="shared" si="1"/>
        <v/>
      </c>
      <c r="T34" s="28" t="str">
        <f t="shared" si="6"/>
        <v>C555369</v>
      </c>
      <c r="U34" s="28">
        <f t="shared" si="5"/>
        <v>700</v>
      </c>
      <c r="V34" s="28">
        <f t="shared" si="5"/>
        <v>850</v>
      </c>
      <c r="W34">
        <v>4</v>
      </c>
      <c r="X34" s="29">
        <f t="shared" si="7"/>
        <v>0</v>
      </c>
    </row>
    <row r="35" spans="1:24" ht="15" x14ac:dyDescent="0.25">
      <c r="A35" s="31" t="s">
        <v>27</v>
      </c>
      <c r="F35" s="9" t="s">
        <v>28</v>
      </c>
      <c r="G35" s="32" t="s">
        <v>29</v>
      </c>
      <c r="H35" s="32"/>
      <c r="I35"/>
      <c r="O35" s="27" t="str">
        <f t="shared" si="0"/>
        <v/>
      </c>
      <c r="P35" s="28" t="str">
        <f>DATEN!M11</f>
        <v>C555370</v>
      </c>
      <c r="Q35" s="28">
        <f>DATEN!N11</f>
        <v>850</v>
      </c>
      <c r="R35" s="28">
        <f>DATEN!O11</f>
        <v>1000</v>
      </c>
      <c r="S35" s="27" t="str">
        <f>IF(AND($G$32&gt;=U35,$G$32&lt;V35),T35,"")</f>
        <v/>
      </c>
      <c r="T35" s="28" t="str">
        <f t="shared" si="6"/>
        <v>C555370</v>
      </c>
      <c r="U35" s="28">
        <f t="shared" si="5"/>
        <v>850</v>
      </c>
      <c r="V35" s="28">
        <f t="shared" si="5"/>
        <v>1000</v>
      </c>
      <c r="W35">
        <v>5</v>
      </c>
      <c r="X35" s="29">
        <f t="shared" si="7"/>
        <v>0</v>
      </c>
    </row>
    <row r="36" spans="1:24" x14ac:dyDescent="0.2">
      <c r="A36" t="s">
        <v>31</v>
      </c>
      <c r="F36" s="26">
        <f>F17+50</f>
        <v>50</v>
      </c>
      <c r="G36"/>
      <c r="H36" t="s">
        <v>206</v>
      </c>
      <c r="I36"/>
      <c r="O36" s="27" t="str">
        <f t="shared" si="0"/>
        <v/>
      </c>
      <c r="P36" s="28" t="str">
        <f>DATEN!M12</f>
        <v>C555371</v>
      </c>
      <c r="Q36" s="28">
        <f>DATEN!N12</f>
        <v>1000</v>
      </c>
      <c r="R36" s="28">
        <f>DATEN!O12</f>
        <v>1150</v>
      </c>
      <c r="S36" s="27" t="str">
        <f t="shared" si="1"/>
        <v/>
      </c>
      <c r="T36" s="28" t="str">
        <f t="shared" si="6"/>
        <v>C555371</v>
      </c>
      <c r="U36" s="28">
        <f t="shared" si="5"/>
        <v>1000</v>
      </c>
      <c r="V36" s="28">
        <f t="shared" si="5"/>
        <v>1150</v>
      </c>
      <c r="W36">
        <v>6</v>
      </c>
      <c r="X36" s="29">
        <f t="shared" si="7"/>
        <v>0</v>
      </c>
    </row>
    <row r="37" spans="1:24" x14ac:dyDescent="0.2">
      <c r="A37" t="s">
        <v>33</v>
      </c>
      <c r="F37" s="26">
        <f>F17+H17-DATEN!$D$13</f>
        <v>-50</v>
      </c>
      <c r="H37" t="s">
        <v>36</v>
      </c>
      <c r="I37"/>
      <c r="J37" s="9">
        <f>X28+1</f>
        <v>0</v>
      </c>
      <c r="O37" s="27" t="str">
        <f t="shared" si="0"/>
        <v/>
      </c>
      <c r="P37" s="28" t="str">
        <f>DATEN!M13</f>
        <v>C555372</v>
      </c>
      <c r="Q37" s="28">
        <f>DATEN!N13</f>
        <v>1150</v>
      </c>
      <c r="R37" s="28">
        <f>DATEN!O13</f>
        <v>1300</v>
      </c>
      <c r="S37" s="27" t="str">
        <f t="shared" si="1"/>
        <v/>
      </c>
      <c r="T37" s="28" t="str">
        <f t="shared" si="6"/>
        <v>C555372</v>
      </c>
      <c r="U37" s="28">
        <f t="shared" si="5"/>
        <v>1150</v>
      </c>
      <c r="V37" s="28">
        <f t="shared" si="5"/>
        <v>1300</v>
      </c>
      <c r="W37">
        <v>7</v>
      </c>
      <c r="X37" s="29">
        <f t="shared" si="7"/>
        <v>0</v>
      </c>
    </row>
    <row r="38" spans="1:24" x14ac:dyDescent="0.2">
      <c r="A38" s="33" t="s">
        <v>35</v>
      </c>
      <c r="F38" s="123" t="str">
        <f>X31&amp;IF(X32="",""," / ")&amp;X32  &amp; IF(X33="",""," / ")&amp;X33&amp; IF(X34="",""," / ")&amp;X34&amp; IF(X35="",""," / ")&amp;X35&amp; IF(X36="",""," / ")&amp;X36&amp; IF(X37="",""," / ")&amp;X37&amp; IF(X38="",""," / ")&amp;X38&amp; IF(X39="",""," / ")&amp;X39&amp; IF(X40="",""," / ")&amp;X40</f>
        <v>50 / 0 / 0 / 0 / 0 / 0 / 0 / 0 / 0 / 0</v>
      </c>
      <c r="O38" s="27" t="str">
        <f t="shared" si="0"/>
        <v/>
      </c>
      <c r="P38" s="28" t="str">
        <f>DATEN!M14</f>
        <v>C555373</v>
      </c>
      <c r="Q38" s="28">
        <f>DATEN!N14</f>
        <v>1300</v>
      </c>
      <c r="R38" s="28">
        <f>DATEN!O14</f>
        <v>1450</v>
      </c>
      <c r="S38" s="27" t="str">
        <f t="shared" si="1"/>
        <v/>
      </c>
      <c r="T38" s="28" t="str">
        <f t="shared" si="6"/>
        <v>C555373</v>
      </c>
      <c r="U38" s="28">
        <f t="shared" si="5"/>
        <v>1300</v>
      </c>
      <c r="V38" s="28">
        <f t="shared" si="5"/>
        <v>1450</v>
      </c>
      <c r="W38">
        <v>8</v>
      </c>
      <c r="X38" s="29">
        <f t="shared" si="7"/>
        <v>0</v>
      </c>
    </row>
    <row r="39" spans="1:24" x14ac:dyDescent="0.2">
      <c r="F39" s="9"/>
      <c r="G39"/>
      <c r="H39"/>
      <c r="I39"/>
      <c r="O39" s="27" t="str">
        <f t="shared" si="0"/>
        <v/>
      </c>
      <c r="P39" s="28" t="str">
        <f>DATEN!M15</f>
        <v>Zu Lang</v>
      </c>
      <c r="Q39" s="28">
        <f>DATEN!N15</f>
        <v>1450.1</v>
      </c>
      <c r="R39" s="28">
        <f>DATEN!O15</f>
        <v>1000000</v>
      </c>
      <c r="S39" s="27" t="str">
        <f t="shared" si="1"/>
        <v/>
      </c>
      <c r="T39" s="28" t="str">
        <f t="shared" si="6"/>
        <v>Zu Lang</v>
      </c>
      <c r="U39" s="28">
        <f t="shared" si="5"/>
        <v>1450.1</v>
      </c>
      <c r="V39" s="28">
        <f t="shared" si="5"/>
        <v>1000000</v>
      </c>
      <c r="W39">
        <v>9</v>
      </c>
      <c r="X39" s="29">
        <f t="shared" si="7"/>
        <v>0</v>
      </c>
    </row>
    <row r="40" spans="1:24" ht="15" x14ac:dyDescent="0.25">
      <c r="A40" s="267" t="s">
        <v>39</v>
      </c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W40">
        <v>10</v>
      </c>
      <c r="X40" s="29">
        <f t="shared" si="7"/>
        <v>0</v>
      </c>
    </row>
    <row r="41" spans="1:24" x14ac:dyDescent="0.2">
      <c r="A41" t="s">
        <v>41</v>
      </c>
      <c r="F41" s="26">
        <f>G17-15</f>
        <v>-15</v>
      </c>
      <c r="G41"/>
      <c r="H41"/>
      <c r="I41"/>
    </row>
    <row r="42" spans="1:24" x14ac:dyDescent="0.2">
      <c r="A42" t="s">
        <v>42</v>
      </c>
      <c r="F42" s="26">
        <f>E17-G17+15</f>
        <v>15</v>
      </c>
      <c r="G42"/>
      <c r="H42"/>
      <c r="I42"/>
    </row>
    <row r="43" spans="1:24" x14ac:dyDescent="0.2">
      <c r="A43" t="s">
        <v>43</v>
      </c>
      <c r="F43" s="26">
        <f>G17-35</f>
        <v>-35</v>
      </c>
      <c r="G43"/>
      <c r="H43"/>
      <c r="I43"/>
    </row>
    <row r="44" spans="1:24" x14ac:dyDescent="0.2">
      <c r="A44" t="s">
        <v>44</v>
      </c>
      <c r="F44" s="26">
        <f>E17-G17+35</f>
        <v>35</v>
      </c>
      <c r="G44"/>
      <c r="H44"/>
      <c r="I44"/>
    </row>
    <row r="45" spans="1:24" x14ac:dyDescent="0.2">
      <c r="A45" t="s">
        <v>45</v>
      </c>
      <c r="F45" s="26">
        <f>F17-23</f>
        <v>-23</v>
      </c>
      <c r="G45"/>
      <c r="H45"/>
      <c r="I45"/>
    </row>
    <row r="46" spans="1:24" x14ac:dyDescent="0.2">
      <c r="A46" t="s">
        <v>46</v>
      </c>
      <c r="F46" s="26">
        <f>E17-G17+23</f>
        <v>23</v>
      </c>
      <c r="G46"/>
      <c r="H46"/>
      <c r="I46"/>
    </row>
    <row r="47" spans="1:24" x14ac:dyDescent="0.2">
      <c r="F47" s="9"/>
      <c r="G47"/>
      <c r="H47"/>
      <c r="I47"/>
      <c r="P47" s="9"/>
    </row>
    <row r="48" spans="1:24" ht="15" x14ac:dyDescent="0.25">
      <c r="A48" s="34" t="s">
        <v>47</v>
      </c>
      <c r="B48" s="35"/>
      <c r="C48" s="35"/>
      <c r="D48" s="35"/>
      <c r="E48" s="35"/>
      <c r="F48" s="35" t="s">
        <v>48</v>
      </c>
      <c r="G48" s="35"/>
      <c r="H48" s="35"/>
      <c r="I48" s="35"/>
      <c r="J48" s="35"/>
      <c r="K48" s="35"/>
      <c r="L48" s="35"/>
    </row>
    <row r="49" spans="1:14" x14ac:dyDescent="0.2">
      <c r="A49" t="s">
        <v>49</v>
      </c>
      <c r="F49" s="26">
        <v>25</v>
      </c>
      <c r="G49"/>
      <c r="H49"/>
      <c r="I49"/>
    </row>
    <row r="50" spans="1:14" x14ac:dyDescent="0.2">
      <c r="A50" t="s">
        <v>33</v>
      </c>
      <c r="F50" s="26">
        <f>F28-25</f>
        <v>-67</v>
      </c>
      <c r="G50"/>
      <c r="H50"/>
      <c r="I50"/>
    </row>
    <row r="51" spans="1:14" x14ac:dyDescent="0.2">
      <c r="A51" s="33" t="s">
        <v>35</v>
      </c>
      <c r="F51" s="36" t="s">
        <v>50</v>
      </c>
      <c r="G51"/>
      <c r="H51"/>
      <c r="I51" t="s">
        <v>36</v>
      </c>
    </row>
    <row r="52" spans="1:14" x14ac:dyDescent="0.2">
      <c r="F52" s="129" t="str">
        <f>IF(B17=2,"Achtung!! 2 Flüglig!! Mittleres Loch auslassen","")</f>
        <v/>
      </c>
      <c r="G52"/>
      <c r="H52"/>
      <c r="I52"/>
    </row>
    <row r="53" spans="1:14" ht="15" x14ac:dyDescent="0.25">
      <c r="A53" s="267" t="s">
        <v>51</v>
      </c>
      <c r="B53" s="267"/>
      <c r="C53" s="267"/>
      <c r="D53" s="267"/>
      <c r="E53" s="267"/>
      <c r="F53" s="267"/>
      <c r="G53" s="267"/>
      <c r="H53" s="267"/>
      <c r="I53" s="267"/>
      <c r="J53" s="267"/>
      <c r="K53" s="267"/>
      <c r="L53" s="267"/>
    </row>
    <row r="54" spans="1:14" x14ac:dyDescent="0.2">
      <c r="A54" s="35" t="s">
        <v>52</v>
      </c>
      <c r="B54" s="37" t="s">
        <v>53</v>
      </c>
      <c r="C54" s="37"/>
      <c r="D54" s="206" t="s">
        <v>54</v>
      </c>
      <c r="E54" s="206"/>
      <c r="F54" s="35" t="s">
        <v>55</v>
      </c>
      <c r="G54" s="35"/>
      <c r="H54" s="35"/>
      <c r="I54" s="35"/>
      <c r="J54" s="35"/>
      <c r="K54" s="266" t="s">
        <v>13</v>
      </c>
      <c r="L54" s="266"/>
    </row>
    <row r="55" spans="1:14" x14ac:dyDescent="0.2">
      <c r="A55" s="12">
        <v>1</v>
      </c>
      <c r="B55" s="9">
        <f>VLOOKUP(A17,'Bestellung Commande'!A27:O65,11,FALSE)</f>
        <v>0</v>
      </c>
      <c r="C55" s="9"/>
      <c r="D55" s="252">
        <f>IF(ISERROR(VLOOKUP($B55,DATEN!$A$3:$D$10,2,FALSE)),"",VLOOKUP($B55,DATEN!$A$3:$D$10,2,FALSE))</f>
        <v>0</v>
      </c>
      <c r="E55" s="252"/>
      <c r="F55" s="12">
        <f>IF(ISERROR(VLOOKUP($B55,DATEN!$A$3:$D$10,3,FALSE)),"",VLOOKUP($B55,DATEN!$A$3:$D$10,3,FALSE))</f>
        <v>0</v>
      </c>
      <c r="G55"/>
      <c r="H55"/>
      <c r="K55" s="265">
        <f>$F$22</f>
        <v>0</v>
      </c>
      <c r="L55" s="265"/>
    </row>
    <row r="56" spans="1:14" x14ac:dyDescent="0.2">
      <c r="A56" s="12">
        <v>2</v>
      </c>
      <c r="B56" s="9">
        <f>VLOOKUP(A17,'Bestellung Commande'!A27:O65,12,FALSE)</f>
        <v>0</v>
      </c>
      <c r="C56" s="9"/>
      <c r="D56" s="252">
        <f>IF(ISERROR(VLOOKUP($B56,DATEN!$A$3:$D$10,2,FALSE)),"",VLOOKUP($B56,DATEN!$A$3:$D$10,2,FALSE))</f>
        <v>0</v>
      </c>
      <c r="E56" s="252"/>
      <c r="F56" s="9">
        <f>IF(ISERROR(VLOOKUP($B56,DATEN!$A$3:$D$10,3,FALSE)),"",VLOOKUP($B56,DATEN!$A$3:$D$10,3,FALSE))</f>
        <v>0</v>
      </c>
      <c r="G56"/>
      <c r="H56"/>
      <c r="K56" s="265">
        <f t="shared" ref="K56:K58" si="8">$F$22</f>
        <v>0</v>
      </c>
      <c r="L56" s="265"/>
    </row>
    <row r="57" spans="1:14" x14ac:dyDescent="0.2">
      <c r="A57" s="12">
        <v>3</v>
      </c>
      <c r="B57" s="9">
        <f>VLOOKUP(A17,'Bestellung Commande'!A27:O65,13,FALSE)</f>
        <v>0</v>
      </c>
      <c r="C57" s="9"/>
      <c r="D57" s="252">
        <f>IF(ISERROR(VLOOKUP($B57,DATEN!$A$3:$D$10,2,FALSE)),"",VLOOKUP($B57,DATEN!$A$3:$D$10,2,FALSE))</f>
        <v>0</v>
      </c>
      <c r="E57" s="252"/>
      <c r="F57" s="9">
        <f>IF(ISERROR(VLOOKUP($B57,DATEN!$A$3:$D$10,3,FALSE)),"",VLOOKUP($B57,DATEN!$A$3:$D$10,3,FALSE))</f>
        <v>0</v>
      </c>
      <c r="K57" s="265">
        <f t="shared" si="8"/>
        <v>0</v>
      </c>
      <c r="L57" s="265"/>
    </row>
    <row r="58" spans="1:14" x14ac:dyDescent="0.2">
      <c r="A58" s="12">
        <v>4</v>
      </c>
      <c r="B58" s="9">
        <f>VLOOKUP(A17,'Bestellung Commande'!A27:O65,14,FALSE)</f>
        <v>0</v>
      </c>
      <c r="C58" s="9"/>
      <c r="D58" s="252">
        <f>IF(ISERROR(VLOOKUP($B58,DATEN!$A$3:$D$10,2,FALSE)),"",VLOOKUP($B58,DATEN!$A$3:$D$10,2,FALSE))</f>
        <v>0</v>
      </c>
      <c r="E58" s="252"/>
      <c r="F58" s="9">
        <f>IF(ISERROR(VLOOKUP($B58,DATEN!$A$3:$D$10,3,FALSE)),"",VLOOKUP($B58,DATEN!$A$3:$D$10,3,FALSE))</f>
        <v>0</v>
      </c>
      <c r="K58" s="265">
        <f t="shared" si="8"/>
        <v>0</v>
      </c>
      <c r="L58" s="265"/>
      <c r="N58" s="46">
        <f>'Bestellung Commande'!B44</f>
        <v>0</v>
      </c>
    </row>
  </sheetData>
  <sheetProtection algorithmName="SHA-512" hashValue="a+F1S1Yw0+hMiAVY1cMhCOedzfqU3F10ptkV7LZJbJ6Mgyq1uP7Ehq1sbOqOG8Usoac6waRDbj7br23f4FDBKg==" saltValue="GcgUpJsNzkdywf3sNux3pQ==" spinCount="100000" sheet="1" objects="1" scenarios="1"/>
  <mergeCells count="52">
    <mergeCell ref="D57:E57"/>
    <mergeCell ref="K57:L57"/>
    <mergeCell ref="D58:E58"/>
    <mergeCell ref="K58:L58"/>
    <mergeCell ref="A53:L53"/>
    <mergeCell ref="D54:E54"/>
    <mergeCell ref="K54:L54"/>
    <mergeCell ref="D55:E55"/>
    <mergeCell ref="K55:L55"/>
    <mergeCell ref="D56:E56"/>
    <mergeCell ref="K56:L56"/>
    <mergeCell ref="A40:L40"/>
    <mergeCell ref="A13:B13"/>
    <mergeCell ref="D13:F13"/>
    <mergeCell ref="A14:B14"/>
    <mergeCell ref="D14:F14"/>
    <mergeCell ref="B16:C16"/>
    <mergeCell ref="I16:L16"/>
    <mergeCell ref="B17:C17"/>
    <mergeCell ref="A20:N20"/>
    <mergeCell ref="A24:N24"/>
    <mergeCell ref="A29:N29"/>
    <mergeCell ref="A34:N34"/>
    <mergeCell ref="A10:B10"/>
    <mergeCell ref="D10:F10"/>
    <mergeCell ref="G10:N11"/>
    <mergeCell ref="A11:F11"/>
    <mergeCell ref="A12:B12"/>
    <mergeCell ref="D12:F12"/>
    <mergeCell ref="A6:B6"/>
    <mergeCell ref="D6:F6"/>
    <mergeCell ref="G6:N6"/>
    <mergeCell ref="A7:F7"/>
    <mergeCell ref="G7:N9"/>
    <mergeCell ref="A8:B8"/>
    <mergeCell ref="D8:F8"/>
    <mergeCell ref="A9:B9"/>
    <mergeCell ref="D9:F9"/>
    <mergeCell ref="D4:F4"/>
    <mergeCell ref="G4:J4"/>
    <mergeCell ref="K4:N4"/>
    <mergeCell ref="A5:B5"/>
    <mergeCell ref="D5:F5"/>
    <mergeCell ref="G5:J5"/>
    <mergeCell ref="K5:N5"/>
    <mergeCell ref="A1:N1"/>
    <mergeCell ref="A2:F2"/>
    <mergeCell ref="G2:N2"/>
    <mergeCell ref="A3:B3"/>
    <mergeCell ref="D3:F3"/>
    <mergeCell ref="G3:J3"/>
    <mergeCell ref="K3:N3"/>
  </mergeCells>
  <printOptions horizontalCentered="1"/>
  <pageMargins left="0.27" right="0.31" top="0.74803149606299213" bottom="0.74803149606299213" header="0.31496062992125984" footer="0.31496062992125984"/>
  <pageSetup paperSize="9" scale="87" orientation="portrait" r:id="rId1"/>
  <headerFooter>
    <oddHeader>&amp;R&amp;G</oddHeader>
    <oddFooter>&amp;LDuckdatum: &amp;D
&amp;F&amp;R&amp;P/&amp;N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A644A30-BBF0-489C-BC22-6BEB0042944A}">
          <x14:formula1>
            <xm:f>DATEN!$I$1:$J$1</xm:f>
          </x14:formula1>
          <xm:sqref>K3:N3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4B5E7-9B79-494B-A63D-09B84D3F4E1A}">
  <sheetPr codeName="Tabelle18"/>
  <dimension ref="A1:X58"/>
  <sheetViews>
    <sheetView view="pageBreakPreview" topLeftCell="A3" zoomScaleNormal="120" zoomScaleSheetLayoutView="100" workbookViewId="0">
      <selection activeCell="A12" sqref="A12:B12"/>
    </sheetView>
  </sheetViews>
  <sheetFormatPr baseColWidth="10" defaultColWidth="11" defaultRowHeight="14.25" x14ac:dyDescent="0.2"/>
  <cols>
    <col min="1" max="3" width="8.875" customWidth="1"/>
    <col min="4" max="5" width="6.5" customWidth="1"/>
    <col min="6" max="6" width="10.625" customWidth="1"/>
    <col min="7" max="7" width="8.75" style="9" customWidth="1"/>
    <col min="8" max="8" width="8.875" style="9" customWidth="1"/>
    <col min="9" max="9" width="4.875" style="9" customWidth="1"/>
    <col min="10" max="10" width="8.75" customWidth="1"/>
    <col min="11" max="11" width="4.5" style="9" customWidth="1"/>
    <col min="12" max="13" width="4.5" customWidth="1"/>
    <col min="14" max="14" width="4.5" style="9" customWidth="1"/>
  </cols>
  <sheetData>
    <row r="1" spans="1:18" ht="23.25" x14ac:dyDescent="0.2">
      <c r="A1" s="238" t="s">
        <v>9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1:18" ht="15" x14ac:dyDescent="0.25">
      <c r="A2" s="253" t="s">
        <v>0</v>
      </c>
      <c r="B2" s="254"/>
      <c r="C2" s="254"/>
      <c r="D2" s="254"/>
      <c r="E2" s="254"/>
      <c r="F2" s="255"/>
      <c r="G2" s="161" t="s">
        <v>1</v>
      </c>
      <c r="H2" s="162"/>
      <c r="I2" s="162"/>
      <c r="J2" s="162"/>
      <c r="K2" s="162"/>
      <c r="L2" s="162"/>
      <c r="M2" s="162"/>
      <c r="N2" s="162"/>
    </row>
    <row r="3" spans="1:18" ht="15" x14ac:dyDescent="0.25">
      <c r="A3" s="165" t="str">
        <f>VLOOKUP(DATEN!I2,DATEN!$I$1:$J$39,IF($K$3="Deutsch", 1, 2),FALSE)</f>
        <v>Kunde Name:</v>
      </c>
      <c r="B3" s="167"/>
      <c r="C3" s="11"/>
      <c r="D3" s="212">
        <f>'Bestellung Commande'!C2</f>
        <v>0</v>
      </c>
      <c r="E3" s="212"/>
      <c r="F3" s="212"/>
      <c r="G3" s="256" t="s">
        <v>2</v>
      </c>
      <c r="H3" s="257"/>
      <c r="I3" s="257"/>
      <c r="J3" s="258"/>
      <c r="K3" s="259" t="s">
        <v>3</v>
      </c>
      <c r="L3" s="260"/>
      <c r="M3" s="260"/>
      <c r="N3" s="261"/>
    </row>
    <row r="4" spans="1:18" ht="15" x14ac:dyDescent="0.25">
      <c r="A4" s="10" t="str">
        <f>VLOOKUP(DATEN!I3,DATEN!$I$1:$J$39,IF($K$3="Deutsch", 1, 2),FALSE)</f>
        <v>Kontaktperson:</v>
      </c>
      <c r="B4" s="11"/>
      <c r="C4" s="11"/>
      <c r="D4" s="212">
        <f>'Bestellung Commande'!C3</f>
        <v>0</v>
      </c>
      <c r="E4" s="212"/>
      <c r="F4" s="212"/>
      <c r="G4" s="256" t="str">
        <f>VLOOKUP(DATEN!I9,DATEN!$I$1:$J$39,IF($K$3="Deutsch", 1, 2),FALSE)</f>
        <v>Bestelldatum:</v>
      </c>
      <c r="H4" s="257"/>
      <c r="I4" s="257"/>
      <c r="J4" s="258"/>
      <c r="K4" s="263">
        <f>'Bestellung Commande'!L3</f>
        <v>0</v>
      </c>
      <c r="L4" s="260"/>
      <c r="M4" s="260"/>
      <c r="N4" s="261"/>
    </row>
    <row r="5" spans="1:18" ht="15" x14ac:dyDescent="0.25">
      <c r="A5" s="165" t="str">
        <f>VLOOKUP(DATEN!I4,DATEN!$I$1:$J$39,IF($K$3="Deutsch", 1, 2),FALSE)</f>
        <v>Kommision:</v>
      </c>
      <c r="B5" s="167"/>
      <c r="C5" s="11"/>
      <c r="D5" s="212">
        <f>'Bestellung Commande'!C4</f>
        <v>0</v>
      </c>
      <c r="E5" s="212"/>
      <c r="F5" s="212"/>
      <c r="G5" s="256" t="str">
        <f>VLOOKUP(DATEN!I10,DATEN!$I$1:$J$39,IF($K$3="Deutsch", 1, 2),FALSE)</f>
        <v>Wunsch Liefertermin:</v>
      </c>
      <c r="H5" s="257"/>
      <c r="I5" s="257"/>
      <c r="J5" s="258"/>
      <c r="K5" s="263">
        <f>'Bestellung Commande'!L4</f>
        <v>0</v>
      </c>
      <c r="L5" s="260"/>
      <c r="M5" s="260"/>
      <c r="N5" s="261"/>
    </row>
    <row r="6" spans="1:18" ht="15" x14ac:dyDescent="0.25">
      <c r="A6" s="165" t="str">
        <f>VLOOKUP(DATEN!I5,DATEN!$I$1:$J$39,IF($K$3="Deutsch", 1, 2),FALSE)</f>
        <v>Kontakt Telefon:</v>
      </c>
      <c r="B6" s="167"/>
      <c r="C6" s="11"/>
      <c r="D6" s="212">
        <f>'Bestellung Commande'!C5</f>
        <v>0</v>
      </c>
      <c r="E6" s="212"/>
      <c r="F6" s="212"/>
      <c r="G6" s="163" t="str">
        <f>VLOOKUP(DATEN!I11,DATEN!$I$1:$J$39,IF($K$3="Deutsch", 1, 2),FALSE)</f>
        <v>Bemerkung:</v>
      </c>
      <c r="H6" s="164"/>
      <c r="I6" s="164"/>
      <c r="J6" s="164"/>
      <c r="K6" s="164"/>
      <c r="L6" s="164"/>
      <c r="M6" s="164"/>
      <c r="N6" s="164"/>
    </row>
    <row r="7" spans="1:18" ht="15" x14ac:dyDescent="0.25">
      <c r="A7" s="264" t="s">
        <v>4</v>
      </c>
      <c r="B7" s="264"/>
      <c r="C7" s="264"/>
      <c r="D7" s="264"/>
      <c r="E7" s="264"/>
      <c r="F7" s="264"/>
      <c r="G7" s="225" t="str">
        <f>VLOOKUP(DATEN!I11,DATEN!$I$1:$J$39,IF($K$3="Deutsch", 1, 2),FALSE)</f>
        <v>Bemerkung:</v>
      </c>
      <c r="H7" s="225"/>
      <c r="I7" s="225"/>
      <c r="J7" s="225"/>
      <c r="K7" s="225"/>
      <c r="L7" s="225"/>
      <c r="M7" s="225"/>
      <c r="N7" s="225"/>
    </row>
    <row r="8" spans="1:18" ht="15" x14ac:dyDescent="0.25">
      <c r="A8" s="165" t="str">
        <f>VLOOKUP(DATEN!I6,DATEN!$I$1:$J$39,IF($K$3="Deutsch", 1, 2),FALSE)</f>
        <v>Strasse:</v>
      </c>
      <c r="B8" s="167"/>
      <c r="C8" s="11"/>
      <c r="D8" s="212">
        <f>'Bestellung Commande'!C8</f>
        <v>0</v>
      </c>
      <c r="E8" s="212"/>
      <c r="F8" s="212"/>
      <c r="G8" s="225"/>
      <c r="H8" s="225"/>
      <c r="I8" s="225"/>
      <c r="J8" s="225"/>
      <c r="K8" s="225"/>
      <c r="L8" s="225"/>
      <c r="M8" s="225"/>
      <c r="N8" s="225"/>
    </row>
    <row r="9" spans="1:18" ht="15" x14ac:dyDescent="0.25">
      <c r="A9" s="165" t="str">
        <f>VLOOKUP(DATEN!I7,DATEN!$I$1:$J$39,IF($K$3="Deutsch", 1, 2),FALSE)</f>
        <v>PLZ Ort:</v>
      </c>
      <c r="B9" s="167"/>
      <c r="C9" s="11"/>
      <c r="D9" s="212">
        <f>'Bestellung Commande'!C9</f>
        <v>0</v>
      </c>
      <c r="E9" s="212"/>
      <c r="F9" s="212"/>
      <c r="G9" s="225"/>
      <c r="H9" s="225"/>
      <c r="I9" s="225"/>
      <c r="J9" s="225"/>
      <c r="K9" s="225"/>
      <c r="L9" s="225"/>
      <c r="M9" s="225"/>
      <c r="N9" s="225"/>
    </row>
    <row r="10" spans="1:18" ht="15" customHeight="1" x14ac:dyDescent="0.25">
      <c r="A10" s="165" t="str">
        <f>VLOOKUP(DATEN!I8,DATEN!$I$1:$J$39,IF($K$3="Deutsch", 1, 2),FALSE)</f>
        <v>Kontakt:</v>
      </c>
      <c r="B10" s="167"/>
      <c r="C10" s="11"/>
      <c r="D10" s="212">
        <f>'Bestellung Commande'!C10</f>
        <v>0</v>
      </c>
      <c r="E10" s="212"/>
      <c r="F10" s="212"/>
      <c r="G10" s="262" t="str">
        <f>IF(VLOOKUP($A$17,'Bestellung Commande'!$A$27:$O$65,10,FALSE)&lt;&gt;"","Sonderbau!!!","")</f>
        <v/>
      </c>
      <c r="H10" s="262"/>
      <c r="I10" s="262"/>
      <c r="J10" s="262"/>
      <c r="K10" s="262"/>
      <c r="L10" s="262"/>
      <c r="M10" s="262"/>
      <c r="N10" s="262"/>
    </row>
    <row r="11" spans="1:18" ht="15" customHeight="1" x14ac:dyDescent="0.25">
      <c r="A11" s="264" t="s">
        <v>5</v>
      </c>
      <c r="B11" s="264"/>
      <c r="C11" s="264"/>
      <c r="D11" s="264"/>
      <c r="E11" s="264"/>
      <c r="F11" s="264"/>
      <c r="G11" s="262"/>
      <c r="H11" s="262"/>
      <c r="I11" s="262"/>
      <c r="J11" s="262"/>
      <c r="K11" s="262"/>
      <c r="L11" s="262"/>
      <c r="M11" s="262"/>
      <c r="N11" s="262"/>
    </row>
    <row r="12" spans="1:18" ht="15" customHeight="1" x14ac:dyDescent="0.4">
      <c r="A12" s="165" t="str">
        <f>VLOOKUP(DATEN!I6,DATEN!$I$1:$J$39,IF($K$3="Deutsch", 1, 2),FALSE)</f>
        <v>Strasse:</v>
      </c>
      <c r="B12" s="167"/>
      <c r="C12" s="11"/>
      <c r="D12" s="212">
        <f>'Bestellung Commande'!C12</f>
        <v>0</v>
      </c>
      <c r="E12" s="212"/>
      <c r="F12" s="212"/>
      <c r="G12" s="146"/>
      <c r="H12" s="146"/>
      <c r="I12" s="146"/>
      <c r="J12" s="146"/>
      <c r="K12" s="146"/>
      <c r="L12" s="146"/>
      <c r="M12" s="146"/>
      <c r="N12" s="146"/>
    </row>
    <row r="13" spans="1:18" ht="15" customHeight="1" x14ac:dyDescent="0.4">
      <c r="A13" s="165" t="str">
        <f>VLOOKUP(DATEN!I7,DATEN!$I$1:$J$39,IF($K$3="Deutsch", 1, 2),FALSE)</f>
        <v>PLZ Ort:</v>
      </c>
      <c r="B13" s="167"/>
      <c r="C13" s="11"/>
      <c r="D13" s="212">
        <f>'Bestellung Commande'!C13</f>
        <v>0</v>
      </c>
      <c r="E13" s="212"/>
      <c r="F13" s="212"/>
      <c r="G13" s="146"/>
      <c r="H13" s="146"/>
      <c r="I13" s="146"/>
      <c r="J13" s="146"/>
      <c r="K13" s="146"/>
      <c r="L13" s="146"/>
      <c r="M13" s="146"/>
      <c r="N13" s="146"/>
    </row>
    <row r="14" spans="1:18" ht="15" customHeight="1" x14ac:dyDescent="0.4">
      <c r="A14" s="165" t="str">
        <f>VLOOKUP(DATEN!I8,DATEN!$I$1:$J$39,IF($K$3="Deutsch", 1, 2),FALSE)</f>
        <v>Kontakt:</v>
      </c>
      <c r="B14" s="167"/>
      <c r="C14" s="11"/>
      <c r="D14" s="212">
        <f>'Bestellung Commande'!C14</f>
        <v>0</v>
      </c>
      <c r="E14" s="212"/>
      <c r="F14" s="212"/>
      <c r="G14" s="146"/>
      <c r="H14" s="146"/>
      <c r="I14" s="146"/>
      <c r="J14" s="146"/>
      <c r="K14" s="146"/>
      <c r="L14" s="146"/>
      <c r="M14" s="146"/>
      <c r="N14" s="146"/>
    </row>
    <row r="15" spans="1:18" ht="15.75" thickBot="1" x14ac:dyDescent="0.3">
      <c r="A15" s="140" t="str">
        <f>'Bestellung Commande'!A67</f>
        <v>V9.5</v>
      </c>
      <c r="B15" s="14"/>
      <c r="C15" s="14"/>
      <c r="D15" s="15"/>
      <c r="E15" s="15"/>
      <c r="F15" s="15"/>
      <c r="G15" s="13"/>
      <c r="H15" s="13"/>
      <c r="I15" s="13"/>
      <c r="J15" s="13"/>
      <c r="K15" s="13"/>
      <c r="L15" s="13"/>
      <c r="M15" s="16">
        <f>'Bestellung Commande'!N24</f>
        <v>73</v>
      </c>
      <c r="N15" s="13"/>
      <c r="O15" s="20" t="s">
        <v>220</v>
      </c>
      <c r="P15" s="9"/>
      <c r="Q15" s="9"/>
      <c r="R15" s="9"/>
    </row>
    <row r="16" spans="1:18" s="19" customFormat="1" ht="28.5" customHeight="1" x14ac:dyDescent="0.2">
      <c r="A16" s="17" t="s">
        <v>216</v>
      </c>
      <c r="B16" s="176" t="str">
        <f>VLOOKUP(DATEN!I14,DATEN!$I$1:$J$39,IF($K$3="Deutsch", 1, 2),FALSE)</f>
        <v>Anz.
Flügel</v>
      </c>
      <c r="C16" s="176"/>
      <c r="D16" s="17" t="str">
        <f>VLOOKUP(DATEN!I15,DATEN!$I$1:$J$39,IF($K$3="Deutsch", 1, 2),FALSE)</f>
        <v>Stk Schw.</v>
      </c>
      <c r="E16" s="17" t="str">
        <f>VLOOKUP(DATEN!I16,DATEN!$I$1:$J$39,IF($K$3="Deutsch", 1, 2),FALSE)</f>
        <v>RA</v>
      </c>
      <c r="F16" s="17" t="str">
        <f>VLOOKUP(DATEN!I17,DATEN!$I$1:$J$39,IF($K$3="Deutsch", 1, 2),FALSE)</f>
        <v>RBL 
(min45)</v>
      </c>
      <c r="G16" s="17" t="str">
        <f>VLOOKUP(DATEN!I18,DATEN!$I$1:$J$39,IF($K$3="Deutsch", 1, 2),FALSE)</f>
        <v>RBR 
(min45)</v>
      </c>
      <c r="H16" s="17"/>
      <c r="I16" s="184" t="str">
        <f>VLOOKUP(DATEN!I19,DATEN!$I$1:$J$39,IF($K$3="Deutsch", 1, 2),FALSE)</f>
        <v>Verbreiterungen</v>
      </c>
      <c r="J16" s="185"/>
      <c r="K16" s="185"/>
      <c r="L16" s="185"/>
      <c r="M16" s="18" t="str">
        <f>VLOOKUP(DATEN!I20,DATEN!$I$1:$J$39,IF($K$3="Deutsch",1,2),FALSE)</f>
        <v>Total</v>
      </c>
      <c r="N16" s="17"/>
      <c r="O16" s="20" t="str">
        <f>E25</f>
        <v>Profil</v>
      </c>
      <c r="P16" s="20" t="str">
        <f>A26</f>
        <v>Links</v>
      </c>
      <c r="Q16" s="20" t="str">
        <f>A27</f>
        <v>Rechts</v>
      </c>
      <c r="R16" s="20" t="str">
        <f>A28</f>
        <v>Mittelteil</v>
      </c>
    </row>
    <row r="17" spans="1:24" ht="15" thickBot="1" x14ac:dyDescent="0.25">
      <c r="A17" s="41">
        <v>15</v>
      </c>
      <c r="B17" s="268">
        <f>VLOOKUP($A$17,'Bestellung Commande'!$A$27:$O$65,3,FALSE)</f>
        <v>0</v>
      </c>
      <c r="C17" s="268"/>
      <c r="D17" s="41">
        <f>VLOOKUP($A$17,'Bestellung Commande'!$A$27:$O$65,5,FALSE)</f>
        <v>0</v>
      </c>
      <c r="E17" s="41">
        <f>VLOOKUP($A$17,'Bestellung Commande'!$A$27:$O$65,6,FALSE)</f>
        <v>0</v>
      </c>
      <c r="F17" s="41">
        <f>VLOOKUP($A$17,'Bestellung Commande'!$A$27:$O$65,7,FALSE)</f>
        <v>0</v>
      </c>
      <c r="G17" s="41">
        <f>VLOOKUP($A$17,'Bestellung Commande'!$A$27:$O$65,8,FALSE)</f>
        <v>0</v>
      </c>
      <c r="H17" s="41">
        <f>VLOOKUP($A$17,'Bestellung Commande'!$A$27:$O$65,9,FALSE)</f>
        <v>0</v>
      </c>
      <c r="I17" s="22">
        <f>VLOOKUP($A$17,'Bestellung Commande'!$A$27:$O$65,10,FALSE)</f>
        <v>0</v>
      </c>
      <c r="J17" s="23">
        <f>VLOOKUP($A$17,'Bestellung Commande'!$A$27:$O$65,11,FALSE)</f>
        <v>0</v>
      </c>
      <c r="K17" s="23">
        <f>VLOOKUP($A$17,'Bestellung Commande'!$A$27:$O$65,12,FALSE)</f>
        <v>0</v>
      </c>
      <c r="L17" s="23">
        <f>VLOOKUP($A$17,'Bestellung Commande'!$A$27:$O$65,13,FALSE)</f>
        <v>0</v>
      </c>
      <c r="M17" s="125">
        <f>VLOOKUP($A$17,'Bestellung Commande'!$A$27:$O$65,14,FALSE)</f>
        <v>0</v>
      </c>
      <c r="N17" s="24"/>
      <c r="O17" s="9" t="str">
        <f>F25</f>
        <v>C298927</v>
      </c>
      <c r="P17" s="29">
        <f>F26</f>
        <v>20</v>
      </c>
      <c r="Q17" s="29">
        <f>F27</f>
        <v>20</v>
      </c>
      <c r="R17" s="29">
        <f>F28</f>
        <v>-42</v>
      </c>
    </row>
    <row r="18" spans="1:24" x14ac:dyDescent="0.2">
      <c r="B18" s="41" cm="1">
        <f t="array" ref="B18">INDEX('Bestellung Commande'!$C$27:$C$66, MATCH($A$17, 'Bestellung Commande'!$A$27:$A$66, 0) + 1)</f>
        <v>0</v>
      </c>
      <c r="C18" s="41" cm="1">
        <f t="array" ref="C18">INDEX('Bestellung Commande'!$D$27:$D$66, MATCH($A$17, 'Bestellung Commande'!$A$27:$A$66, 0) + 1)</f>
        <v>0</v>
      </c>
    </row>
    <row r="20" spans="1:24" ht="15" x14ac:dyDescent="0.25">
      <c r="A20" s="267" t="s">
        <v>10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</row>
    <row r="21" spans="1:24" ht="15" x14ac:dyDescent="0.25">
      <c r="E21" s="25" t="s">
        <v>11</v>
      </c>
      <c r="F21" s="9" t="s">
        <v>12</v>
      </c>
      <c r="G21"/>
      <c r="H21"/>
      <c r="I21"/>
    </row>
    <row r="22" spans="1:24" x14ac:dyDescent="0.2">
      <c r="E22" t="s">
        <v>13</v>
      </c>
      <c r="F22" s="26">
        <f>E17</f>
        <v>0</v>
      </c>
      <c r="G22"/>
      <c r="H22"/>
      <c r="I22"/>
    </row>
    <row r="23" spans="1:24" x14ac:dyDescent="0.2">
      <c r="F23" s="9">
        <f>B17</f>
        <v>0</v>
      </c>
      <c r="G23"/>
      <c r="H23"/>
      <c r="I23"/>
    </row>
    <row r="24" spans="1:24" ht="15" x14ac:dyDescent="0.25">
      <c r="A24" s="267" t="s">
        <v>14</v>
      </c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</row>
    <row r="25" spans="1:24" ht="15" x14ac:dyDescent="0.25">
      <c r="E25" s="25" t="s">
        <v>11</v>
      </c>
      <c r="F25" s="9" t="s">
        <v>15</v>
      </c>
      <c r="G25"/>
      <c r="H25"/>
      <c r="I25"/>
    </row>
    <row r="26" spans="1:24" x14ac:dyDescent="0.2">
      <c r="A26" t="s">
        <v>16</v>
      </c>
      <c r="E26" t="s">
        <v>13</v>
      </c>
      <c r="F26" s="26">
        <f>F17+20</f>
        <v>20</v>
      </c>
      <c r="G26"/>
      <c r="H26"/>
      <c r="I26"/>
      <c r="W26" s="121" t="s">
        <v>208</v>
      </c>
      <c r="X26" s="122">
        <f>F37-F36</f>
        <v>-100</v>
      </c>
    </row>
    <row r="27" spans="1:24" x14ac:dyDescent="0.2">
      <c r="A27" t="s">
        <v>17</v>
      </c>
      <c r="E27" t="s">
        <v>13</v>
      </c>
      <c r="F27" s="26">
        <f>G17+20</f>
        <v>20</v>
      </c>
      <c r="G27"/>
      <c r="H27"/>
      <c r="I27"/>
      <c r="W27" t="s">
        <v>209</v>
      </c>
      <c r="X27">
        <f>[1]DATEN!D14</f>
        <v>300</v>
      </c>
    </row>
    <row r="28" spans="1:24" x14ac:dyDescent="0.2">
      <c r="A28" t="s">
        <v>18</v>
      </c>
      <c r="E28" t="s">
        <v>13</v>
      </c>
      <c r="F28" s="26">
        <f>(E17-(F26+F27))-2</f>
        <v>-42</v>
      </c>
      <c r="G28"/>
      <c r="H28"/>
      <c r="I28"/>
      <c r="P28" t="s">
        <v>293</v>
      </c>
      <c r="T28" t="s">
        <v>294</v>
      </c>
      <c r="W28" t="s">
        <v>210</v>
      </c>
      <c r="X28">
        <f>ROUNDUP(X26/X27,0)</f>
        <v>-1</v>
      </c>
    </row>
    <row r="29" spans="1:24" ht="15" x14ac:dyDescent="0.25">
      <c r="A29" s="267" t="s">
        <v>19</v>
      </c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7" t="str">
        <f t="shared" ref="O29:O39" si="0">IF(AND($F$32&gt;=Q29,$F$32&lt;R29),P29,"")</f>
        <v/>
      </c>
      <c r="P29" s="28" t="str">
        <f>" "</f>
        <v xml:space="preserve"> </v>
      </c>
      <c r="Q29" s="28">
        <v>-1000000</v>
      </c>
      <c r="R29" s="28">
        <v>0</v>
      </c>
      <c r="S29" s="27" t="str">
        <f t="shared" ref="S29:S39" si="1">IF(AND($G$32&gt;=U29,$G$32&lt;V29),T29,"")</f>
        <v/>
      </c>
      <c r="T29" s="28" t="str">
        <f t="shared" ref="T29:T30" si="2">P29</f>
        <v xml:space="preserve"> </v>
      </c>
      <c r="U29" s="28">
        <f t="shared" ref="U29:U30" si="3">Q29</f>
        <v>-1000000</v>
      </c>
      <c r="V29" s="28">
        <f t="shared" ref="V29:V30" si="4">R29</f>
        <v>0</v>
      </c>
      <c r="W29" t="s">
        <v>211</v>
      </c>
      <c r="X29">
        <f>X26/X28</f>
        <v>100</v>
      </c>
    </row>
    <row r="30" spans="1:24" ht="15" x14ac:dyDescent="0.25">
      <c r="F30" s="25" t="s">
        <v>293</v>
      </c>
      <c r="G30" s="25" t="s">
        <v>294</v>
      </c>
      <c r="H30"/>
      <c r="I30"/>
      <c r="K30"/>
      <c r="N30"/>
      <c r="O30" s="27" t="str">
        <f t="shared" si="0"/>
        <v/>
      </c>
      <c r="P30" s="28"/>
      <c r="Q30" s="28">
        <v>0.1</v>
      </c>
      <c r="R30" s="28">
        <v>247.9</v>
      </c>
      <c r="S30" s="27" t="str">
        <f t="shared" si="1"/>
        <v/>
      </c>
      <c r="T30" s="28">
        <f t="shared" si="2"/>
        <v>0</v>
      </c>
      <c r="U30" s="28">
        <f t="shared" si="3"/>
        <v>0.1</v>
      </c>
      <c r="V30" s="28">
        <f t="shared" si="4"/>
        <v>247.9</v>
      </c>
    </row>
    <row r="31" spans="1:24" x14ac:dyDescent="0.2">
      <c r="F31" s="9" t="str">
        <f>O29&amp;O31&amp;O32&amp;O33&amp;O34&amp;O35&amp;O36&amp;O37&amp;O38&amp;O39</f>
        <v/>
      </c>
      <c r="G31" s="9" t="str">
        <f>S29&amp;S31&amp;S32&amp;S33&amp;S34&amp;S35&amp;S36&amp;S37&amp;S38&amp;S39</f>
        <v/>
      </c>
      <c r="I31"/>
      <c r="O31" s="27" t="str">
        <f t="shared" si="0"/>
        <v/>
      </c>
      <c r="P31" s="28" t="str">
        <f>DATEN!M7</f>
        <v>C555366</v>
      </c>
      <c r="Q31" s="28">
        <f>DATEN!N7</f>
        <v>275</v>
      </c>
      <c r="R31" s="28">
        <f>DATEN!O7</f>
        <v>400</v>
      </c>
      <c r="S31" s="27" t="str">
        <f t="shared" si="1"/>
        <v/>
      </c>
      <c r="T31" s="28" t="str">
        <f>P31</f>
        <v>C555366</v>
      </c>
      <c r="U31" s="28">
        <f t="shared" ref="U31:V39" si="5">Q31</f>
        <v>275</v>
      </c>
      <c r="V31" s="28">
        <f t="shared" si="5"/>
        <v>400</v>
      </c>
      <c r="W31">
        <v>1</v>
      </c>
      <c r="X31" s="29">
        <f>F36</f>
        <v>50</v>
      </c>
    </row>
    <row r="32" spans="1:24" x14ac:dyDescent="0.2">
      <c r="A32" t="s">
        <v>13</v>
      </c>
      <c r="F32" s="26" t="b">
        <f>IF(AND(B17=1,B18=0),H17,IF(AND(B17=1,B18&gt;0),B18,IF(AND(B17=2,B18=0),(H17-20)/2,IF(AND(B17=2,B18&gt;0),B18))))</f>
        <v>0</v>
      </c>
      <c r="G32" s="26">
        <f>IF(B17=1,0,IF(AND(B17=2,C18=0),0,C18))</f>
        <v>0</v>
      </c>
      <c r="I32"/>
      <c r="O32" s="27" t="str">
        <f t="shared" si="0"/>
        <v/>
      </c>
      <c r="P32" s="28" t="str">
        <f>DATEN!M8</f>
        <v>C555367</v>
      </c>
      <c r="Q32" s="28">
        <f>DATEN!N8</f>
        <v>400</v>
      </c>
      <c r="R32" s="28">
        <f>DATEN!O8</f>
        <v>550</v>
      </c>
      <c r="S32" s="27" t="str">
        <f t="shared" si="1"/>
        <v/>
      </c>
      <c r="T32" s="28" t="str">
        <f t="shared" ref="T32:T39" si="6">P32</f>
        <v>C555367</v>
      </c>
      <c r="U32" s="28">
        <f t="shared" si="5"/>
        <v>400</v>
      </c>
      <c r="V32" s="28">
        <f t="shared" si="5"/>
        <v>550</v>
      </c>
      <c r="W32">
        <v>2</v>
      </c>
      <c r="X32" s="29">
        <f>ROUND(IF(W32-1&gt;$X$28,0,X31+$X$29),0)</f>
        <v>0</v>
      </c>
    </row>
    <row r="33" spans="1:24" x14ac:dyDescent="0.2">
      <c r="A33" t="s">
        <v>23</v>
      </c>
      <c r="F33" s="30">
        <f>IF(AND(B17=2,B18=0),B17,1)*D17</f>
        <v>0</v>
      </c>
      <c r="G33" s="30">
        <f>IF(G32&gt;0,1,0)*D17</f>
        <v>0</v>
      </c>
      <c r="I33"/>
      <c r="O33" s="27" t="str">
        <f t="shared" si="0"/>
        <v/>
      </c>
      <c r="P33" s="28" t="str">
        <f>DATEN!M9</f>
        <v>C555368</v>
      </c>
      <c r="Q33" s="28">
        <f>DATEN!N9</f>
        <v>550</v>
      </c>
      <c r="R33" s="28">
        <f>DATEN!O9</f>
        <v>700</v>
      </c>
      <c r="S33" s="27" t="str">
        <f t="shared" si="1"/>
        <v/>
      </c>
      <c r="T33" s="28" t="str">
        <f t="shared" si="6"/>
        <v>C555368</v>
      </c>
      <c r="U33" s="28">
        <f t="shared" si="5"/>
        <v>550</v>
      </c>
      <c r="V33" s="28">
        <f t="shared" si="5"/>
        <v>700</v>
      </c>
      <c r="W33">
        <v>3</v>
      </c>
      <c r="X33" s="29">
        <f t="shared" ref="X33:X40" si="7">ROUND(IF(W33-1&gt;$X$28,0,X32+$X$29),0)</f>
        <v>0</v>
      </c>
    </row>
    <row r="34" spans="1:24" ht="15" x14ac:dyDescent="0.25">
      <c r="A34" s="267" t="s">
        <v>25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7" t="str">
        <f>IF(AND($F$32&gt;=Q34,$F$32&lt;R34),P34,"")</f>
        <v/>
      </c>
      <c r="P34" s="28" t="str">
        <f>DATEN!M10</f>
        <v>C555369</v>
      </c>
      <c r="Q34" s="28">
        <f>DATEN!N10</f>
        <v>700</v>
      </c>
      <c r="R34" s="28">
        <f>DATEN!O10</f>
        <v>850</v>
      </c>
      <c r="S34" s="27" t="str">
        <f t="shared" si="1"/>
        <v/>
      </c>
      <c r="T34" s="28" t="str">
        <f t="shared" si="6"/>
        <v>C555369</v>
      </c>
      <c r="U34" s="28">
        <f t="shared" si="5"/>
        <v>700</v>
      </c>
      <c r="V34" s="28">
        <f t="shared" si="5"/>
        <v>850</v>
      </c>
      <c r="W34">
        <v>4</v>
      </c>
      <c r="X34" s="29">
        <f t="shared" si="7"/>
        <v>0</v>
      </c>
    </row>
    <row r="35" spans="1:24" ht="15" x14ac:dyDescent="0.25">
      <c r="A35" s="31" t="s">
        <v>27</v>
      </c>
      <c r="F35" s="9" t="s">
        <v>28</v>
      </c>
      <c r="G35" s="32" t="s">
        <v>29</v>
      </c>
      <c r="H35" s="32"/>
      <c r="I35"/>
      <c r="O35" s="27" t="str">
        <f t="shared" si="0"/>
        <v/>
      </c>
      <c r="P35" s="28" t="str">
        <f>DATEN!M11</f>
        <v>C555370</v>
      </c>
      <c r="Q35" s="28">
        <f>DATEN!N11</f>
        <v>850</v>
      </c>
      <c r="R35" s="28">
        <f>DATEN!O11</f>
        <v>1000</v>
      </c>
      <c r="S35" s="27" t="str">
        <f>IF(AND($G$32&gt;=U35,$G$32&lt;V35),T35,"")</f>
        <v/>
      </c>
      <c r="T35" s="28" t="str">
        <f t="shared" si="6"/>
        <v>C555370</v>
      </c>
      <c r="U35" s="28">
        <f t="shared" si="5"/>
        <v>850</v>
      </c>
      <c r="V35" s="28">
        <f t="shared" si="5"/>
        <v>1000</v>
      </c>
      <c r="W35">
        <v>5</v>
      </c>
      <c r="X35" s="29">
        <f t="shared" si="7"/>
        <v>0</v>
      </c>
    </row>
    <row r="36" spans="1:24" x14ac:dyDescent="0.2">
      <c r="A36" t="s">
        <v>31</v>
      </c>
      <c r="F36" s="26">
        <f>F17+50</f>
        <v>50</v>
      </c>
      <c r="G36"/>
      <c r="H36" t="s">
        <v>206</v>
      </c>
      <c r="I36"/>
      <c r="O36" s="27" t="str">
        <f t="shared" si="0"/>
        <v/>
      </c>
      <c r="P36" s="28" t="str">
        <f>DATEN!M12</f>
        <v>C555371</v>
      </c>
      <c r="Q36" s="28">
        <f>DATEN!N12</f>
        <v>1000</v>
      </c>
      <c r="R36" s="28">
        <f>DATEN!O12</f>
        <v>1150</v>
      </c>
      <c r="S36" s="27" t="str">
        <f t="shared" si="1"/>
        <v/>
      </c>
      <c r="T36" s="28" t="str">
        <f t="shared" si="6"/>
        <v>C555371</v>
      </c>
      <c r="U36" s="28">
        <f t="shared" si="5"/>
        <v>1000</v>
      </c>
      <c r="V36" s="28">
        <f t="shared" si="5"/>
        <v>1150</v>
      </c>
      <c r="W36">
        <v>6</v>
      </c>
      <c r="X36" s="29">
        <f t="shared" si="7"/>
        <v>0</v>
      </c>
    </row>
    <row r="37" spans="1:24" x14ac:dyDescent="0.2">
      <c r="A37" t="s">
        <v>33</v>
      </c>
      <c r="F37" s="26">
        <f>F17+H17-DATEN!$D$13</f>
        <v>-50</v>
      </c>
      <c r="H37" t="s">
        <v>36</v>
      </c>
      <c r="I37"/>
      <c r="J37" s="9">
        <f>X28+1</f>
        <v>0</v>
      </c>
      <c r="O37" s="27" t="str">
        <f t="shared" si="0"/>
        <v/>
      </c>
      <c r="P37" s="28" t="str">
        <f>DATEN!M13</f>
        <v>C555372</v>
      </c>
      <c r="Q37" s="28">
        <f>DATEN!N13</f>
        <v>1150</v>
      </c>
      <c r="R37" s="28">
        <f>DATEN!O13</f>
        <v>1300</v>
      </c>
      <c r="S37" s="27" t="str">
        <f t="shared" si="1"/>
        <v/>
      </c>
      <c r="T37" s="28" t="str">
        <f t="shared" si="6"/>
        <v>C555372</v>
      </c>
      <c r="U37" s="28">
        <f t="shared" si="5"/>
        <v>1150</v>
      </c>
      <c r="V37" s="28">
        <f t="shared" si="5"/>
        <v>1300</v>
      </c>
      <c r="W37">
        <v>7</v>
      </c>
      <c r="X37" s="29">
        <f t="shared" si="7"/>
        <v>0</v>
      </c>
    </row>
    <row r="38" spans="1:24" x14ac:dyDescent="0.2">
      <c r="A38" s="33" t="s">
        <v>35</v>
      </c>
      <c r="F38" s="123" t="str">
        <f>X31&amp;IF(X32="",""," / ")&amp;X32  &amp; IF(X33="",""," / ")&amp;X33&amp; IF(X34="",""," / ")&amp;X34&amp; IF(X35="",""," / ")&amp;X35&amp; IF(X36="",""," / ")&amp;X36&amp; IF(X37="",""," / ")&amp;X37&amp; IF(X38="",""," / ")&amp;X38&amp; IF(X39="",""," / ")&amp;X39&amp; IF(X40="",""," / ")&amp;X40</f>
        <v>50 / 0 / 0 / 0 / 0 / 0 / 0 / 0 / 0 / 0</v>
      </c>
      <c r="O38" s="27" t="str">
        <f t="shared" si="0"/>
        <v/>
      </c>
      <c r="P38" s="28" t="str">
        <f>DATEN!M14</f>
        <v>C555373</v>
      </c>
      <c r="Q38" s="28">
        <f>DATEN!N14</f>
        <v>1300</v>
      </c>
      <c r="R38" s="28">
        <f>DATEN!O14</f>
        <v>1450</v>
      </c>
      <c r="S38" s="27" t="str">
        <f t="shared" si="1"/>
        <v/>
      </c>
      <c r="T38" s="28" t="str">
        <f t="shared" si="6"/>
        <v>C555373</v>
      </c>
      <c r="U38" s="28">
        <f t="shared" si="5"/>
        <v>1300</v>
      </c>
      <c r="V38" s="28">
        <f t="shared" si="5"/>
        <v>1450</v>
      </c>
      <c r="W38">
        <v>8</v>
      </c>
      <c r="X38" s="29">
        <f t="shared" si="7"/>
        <v>0</v>
      </c>
    </row>
    <row r="39" spans="1:24" x14ac:dyDescent="0.2">
      <c r="F39" s="9"/>
      <c r="G39"/>
      <c r="H39"/>
      <c r="I39"/>
      <c r="O39" s="27" t="str">
        <f t="shared" si="0"/>
        <v/>
      </c>
      <c r="P39" s="28" t="str">
        <f>DATEN!M15</f>
        <v>Zu Lang</v>
      </c>
      <c r="Q39" s="28">
        <f>DATEN!N15</f>
        <v>1450.1</v>
      </c>
      <c r="R39" s="28">
        <f>DATEN!O15</f>
        <v>1000000</v>
      </c>
      <c r="S39" s="27" t="str">
        <f t="shared" si="1"/>
        <v/>
      </c>
      <c r="T39" s="28" t="str">
        <f t="shared" si="6"/>
        <v>Zu Lang</v>
      </c>
      <c r="U39" s="28">
        <f t="shared" si="5"/>
        <v>1450.1</v>
      </c>
      <c r="V39" s="28">
        <f t="shared" si="5"/>
        <v>1000000</v>
      </c>
      <c r="W39">
        <v>9</v>
      </c>
      <c r="X39" s="29">
        <f t="shared" si="7"/>
        <v>0</v>
      </c>
    </row>
    <row r="40" spans="1:24" ht="15" x14ac:dyDescent="0.25">
      <c r="A40" s="267" t="s">
        <v>39</v>
      </c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W40">
        <v>10</v>
      </c>
      <c r="X40" s="29">
        <f t="shared" si="7"/>
        <v>0</v>
      </c>
    </row>
    <row r="41" spans="1:24" x14ac:dyDescent="0.2">
      <c r="A41" t="s">
        <v>41</v>
      </c>
      <c r="F41" s="26">
        <f>G17-15</f>
        <v>-15</v>
      </c>
      <c r="G41"/>
      <c r="H41"/>
      <c r="I41"/>
    </row>
    <row r="42" spans="1:24" x14ac:dyDescent="0.2">
      <c r="A42" t="s">
        <v>42</v>
      </c>
      <c r="F42" s="26">
        <f>E17-G17+15</f>
        <v>15</v>
      </c>
      <c r="G42"/>
      <c r="H42"/>
      <c r="I42"/>
    </row>
    <row r="43" spans="1:24" x14ac:dyDescent="0.2">
      <c r="A43" t="s">
        <v>43</v>
      </c>
      <c r="F43" s="26">
        <f>G17-35</f>
        <v>-35</v>
      </c>
      <c r="G43"/>
      <c r="H43"/>
      <c r="I43"/>
    </row>
    <row r="44" spans="1:24" x14ac:dyDescent="0.2">
      <c r="A44" t="s">
        <v>44</v>
      </c>
      <c r="F44" s="26">
        <f>E17-G17+35</f>
        <v>35</v>
      </c>
      <c r="G44"/>
      <c r="H44"/>
      <c r="I44"/>
    </row>
    <row r="45" spans="1:24" x14ac:dyDescent="0.2">
      <c r="A45" t="s">
        <v>45</v>
      </c>
      <c r="F45" s="26">
        <f>F17-23</f>
        <v>-23</v>
      </c>
      <c r="G45"/>
      <c r="H45"/>
      <c r="I45"/>
    </row>
    <row r="46" spans="1:24" x14ac:dyDescent="0.2">
      <c r="A46" t="s">
        <v>46</v>
      </c>
      <c r="F46" s="26">
        <f>E17-G17+23</f>
        <v>23</v>
      </c>
      <c r="G46"/>
      <c r="H46"/>
      <c r="I46"/>
    </row>
    <row r="47" spans="1:24" x14ac:dyDescent="0.2">
      <c r="F47" s="9"/>
      <c r="G47"/>
      <c r="H47"/>
      <c r="I47"/>
      <c r="P47" s="9"/>
    </row>
    <row r="48" spans="1:24" ht="15" x14ac:dyDescent="0.25">
      <c r="A48" s="34" t="s">
        <v>47</v>
      </c>
      <c r="B48" s="35"/>
      <c r="C48" s="35"/>
      <c r="D48" s="35"/>
      <c r="E48" s="35"/>
      <c r="F48" s="35" t="s">
        <v>48</v>
      </c>
      <c r="G48" s="35"/>
      <c r="H48" s="35"/>
      <c r="I48" s="35"/>
      <c r="J48" s="35"/>
      <c r="K48" s="35"/>
      <c r="L48" s="35"/>
    </row>
    <row r="49" spans="1:14" x14ac:dyDescent="0.2">
      <c r="A49" t="s">
        <v>49</v>
      </c>
      <c r="F49" s="26">
        <v>25</v>
      </c>
      <c r="G49"/>
      <c r="H49"/>
      <c r="I49"/>
    </row>
    <row r="50" spans="1:14" x14ac:dyDescent="0.2">
      <c r="A50" t="s">
        <v>33</v>
      </c>
      <c r="F50" s="26">
        <f>F28-25</f>
        <v>-67</v>
      </c>
      <c r="G50"/>
      <c r="H50"/>
      <c r="I50"/>
    </row>
    <row r="51" spans="1:14" x14ac:dyDescent="0.2">
      <c r="A51" s="33" t="s">
        <v>35</v>
      </c>
      <c r="F51" s="36" t="s">
        <v>50</v>
      </c>
      <c r="G51"/>
      <c r="H51"/>
      <c r="I51" t="s">
        <v>36</v>
      </c>
    </row>
    <row r="52" spans="1:14" x14ac:dyDescent="0.2">
      <c r="F52" s="129" t="str">
        <f>IF(B17=2,"Achtung!! 2 Flüglig!! Mittleres Loch auslassen","")</f>
        <v/>
      </c>
      <c r="G52"/>
      <c r="H52"/>
      <c r="I52"/>
    </row>
    <row r="53" spans="1:14" ht="15" x14ac:dyDescent="0.25">
      <c r="A53" s="267" t="s">
        <v>51</v>
      </c>
      <c r="B53" s="267"/>
      <c r="C53" s="267"/>
      <c r="D53" s="267"/>
      <c r="E53" s="267"/>
      <c r="F53" s="267"/>
      <c r="G53" s="267"/>
      <c r="H53" s="267"/>
      <c r="I53" s="267"/>
      <c r="J53" s="267"/>
      <c r="K53" s="267"/>
      <c r="L53" s="267"/>
    </row>
    <row r="54" spans="1:14" x14ac:dyDescent="0.2">
      <c r="A54" s="35" t="s">
        <v>52</v>
      </c>
      <c r="B54" s="37" t="s">
        <v>53</v>
      </c>
      <c r="C54" s="37"/>
      <c r="D54" s="206" t="s">
        <v>54</v>
      </c>
      <c r="E54" s="206"/>
      <c r="F54" s="35" t="s">
        <v>55</v>
      </c>
      <c r="G54" s="35"/>
      <c r="H54" s="35"/>
      <c r="I54" s="35"/>
      <c r="J54" s="35"/>
      <c r="K54" s="266" t="s">
        <v>13</v>
      </c>
      <c r="L54" s="266"/>
    </row>
    <row r="55" spans="1:14" x14ac:dyDescent="0.2">
      <c r="A55" s="12">
        <v>1</v>
      </c>
      <c r="B55" s="9">
        <f>VLOOKUP(A17,'Bestellung Commande'!A27:O65,11,FALSE)</f>
        <v>0</v>
      </c>
      <c r="C55" s="9"/>
      <c r="D55" s="252">
        <f>IF(ISERROR(VLOOKUP($B55,DATEN!$A$3:$D$10,2,FALSE)),"",VLOOKUP($B55,DATEN!$A$3:$D$10,2,FALSE))</f>
        <v>0</v>
      </c>
      <c r="E55" s="252"/>
      <c r="F55" s="12">
        <f>IF(ISERROR(VLOOKUP($B55,DATEN!$A$3:$D$10,3,FALSE)),"",VLOOKUP($B55,DATEN!$A$3:$D$10,3,FALSE))</f>
        <v>0</v>
      </c>
      <c r="G55"/>
      <c r="H55"/>
      <c r="K55" s="265">
        <f>$F$22</f>
        <v>0</v>
      </c>
      <c r="L55" s="265"/>
    </row>
    <row r="56" spans="1:14" x14ac:dyDescent="0.2">
      <c r="A56" s="12">
        <v>2</v>
      </c>
      <c r="B56" s="9">
        <f>VLOOKUP(A17,'Bestellung Commande'!A27:O65,12,FALSE)</f>
        <v>0</v>
      </c>
      <c r="C56" s="9"/>
      <c r="D56" s="252">
        <f>IF(ISERROR(VLOOKUP($B56,DATEN!$A$3:$D$10,2,FALSE)),"",VLOOKUP($B56,DATEN!$A$3:$D$10,2,FALSE))</f>
        <v>0</v>
      </c>
      <c r="E56" s="252"/>
      <c r="F56" s="9">
        <f>IF(ISERROR(VLOOKUP($B56,DATEN!$A$3:$D$10,3,FALSE)),"",VLOOKUP($B56,DATEN!$A$3:$D$10,3,FALSE))</f>
        <v>0</v>
      </c>
      <c r="G56"/>
      <c r="H56"/>
      <c r="K56" s="265">
        <f t="shared" ref="K56:K58" si="8">$F$22</f>
        <v>0</v>
      </c>
      <c r="L56" s="265"/>
    </row>
    <row r="57" spans="1:14" x14ac:dyDescent="0.2">
      <c r="A57" s="12">
        <v>3</v>
      </c>
      <c r="B57" s="9">
        <f>VLOOKUP(A17,'Bestellung Commande'!A27:O65,13,FALSE)</f>
        <v>0</v>
      </c>
      <c r="C57" s="9"/>
      <c r="D57" s="252">
        <f>IF(ISERROR(VLOOKUP($B57,DATEN!$A$3:$D$10,2,FALSE)),"",VLOOKUP($B57,DATEN!$A$3:$D$10,2,FALSE))</f>
        <v>0</v>
      </c>
      <c r="E57" s="252"/>
      <c r="F57" s="9">
        <f>IF(ISERROR(VLOOKUP($B57,DATEN!$A$3:$D$10,3,FALSE)),"",VLOOKUP($B57,DATEN!$A$3:$D$10,3,FALSE))</f>
        <v>0</v>
      </c>
      <c r="K57" s="265">
        <f t="shared" si="8"/>
        <v>0</v>
      </c>
      <c r="L57" s="265"/>
    </row>
    <row r="58" spans="1:14" x14ac:dyDescent="0.2">
      <c r="A58" s="12">
        <v>4</v>
      </c>
      <c r="B58" s="9">
        <f>VLOOKUP(A17,'Bestellung Commande'!A27:O65,14,FALSE)</f>
        <v>0</v>
      </c>
      <c r="C58" s="9"/>
      <c r="D58" s="252">
        <f>IF(ISERROR(VLOOKUP($B58,DATEN!$A$3:$D$10,2,FALSE)),"",VLOOKUP($B58,DATEN!$A$3:$D$10,2,FALSE))</f>
        <v>0</v>
      </c>
      <c r="E58" s="252"/>
      <c r="F58" s="9">
        <f>IF(ISERROR(VLOOKUP($B58,DATEN!$A$3:$D$10,3,FALSE)),"",VLOOKUP($B58,DATEN!$A$3:$D$10,3,FALSE))</f>
        <v>0</v>
      </c>
      <c r="K58" s="265">
        <f t="shared" si="8"/>
        <v>0</v>
      </c>
      <c r="L58" s="265"/>
      <c r="N58" s="46">
        <f>'Bestellung Commande'!B44</f>
        <v>0</v>
      </c>
    </row>
  </sheetData>
  <sheetProtection algorithmName="SHA-512" hashValue="rZCVM9wwU2j/JUl99T46U3n5f7Up/o5o4qkGb5uwxcqgEIHlgAS6sKxFc1KzAvphALN4kvo1aIdneanVNXH/rw==" saltValue="h1A/517DfG/aAuRa+dwnNQ==" spinCount="100000" sheet="1" objects="1" scenarios="1"/>
  <mergeCells count="52">
    <mergeCell ref="D57:E57"/>
    <mergeCell ref="K57:L57"/>
    <mergeCell ref="D58:E58"/>
    <mergeCell ref="K58:L58"/>
    <mergeCell ref="A53:L53"/>
    <mergeCell ref="D54:E54"/>
    <mergeCell ref="K54:L54"/>
    <mergeCell ref="D55:E55"/>
    <mergeCell ref="K55:L55"/>
    <mergeCell ref="D56:E56"/>
    <mergeCell ref="K56:L56"/>
    <mergeCell ref="A40:L40"/>
    <mergeCell ref="A13:B13"/>
    <mergeCell ref="D13:F13"/>
    <mergeCell ref="A14:B14"/>
    <mergeCell ref="D14:F14"/>
    <mergeCell ref="B16:C16"/>
    <mergeCell ref="I16:L16"/>
    <mergeCell ref="B17:C17"/>
    <mergeCell ref="A20:N20"/>
    <mergeCell ref="A24:N24"/>
    <mergeCell ref="A29:N29"/>
    <mergeCell ref="A34:N34"/>
    <mergeCell ref="A10:B10"/>
    <mergeCell ref="D10:F10"/>
    <mergeCell ref="G10:N11"/>
    <mergeCell ref="A11:F11"/>
    <mergeCell ref="A12:B12"/>
    <mergeCell ref="D12:F12"/>
    <mergeCell ref="A6:B6"/>
    <mergeCell ref="D6:F6"/>
    <mergeCell ref="G6:N6"/>
    <mergeCell ref="A7:F7"/>
    <mergeCell ref="G7:N9"/>
    <mergeCell ref="A8:B8"/>
    <mergeCell ref="D8:F8"/>
    <mergeCell ref="A9:B9"/>
    <mergeCell ref="D9:F9"/>
    <mergeCell ref="D4:F4"/>
    <mergeCell ref="G4:J4"/>
    <mergeCell ref="K4:N4"/>
    <mergeCell ref="A5:B5"/>
    <mergeCell ref="D5:F5"/>
    <mergeCell ref="G5:J5"/>
    <mergeCell ref="K5:N5"/>
    <mergeCell ref="A1:N1"/>
    <mergeCell ref="A2:F2"/>
    <mergeCell ref="G2:N2"/>
    <mergeCell ref="A3:B3"/>
    <mergeCell ref="D3:F3"/>
    <mergeCell ref="G3:J3"/>
    <mergeCell ref="K3:N3"/>
  </mergeCells>
  <printOptions horizontalCentered="1"/>
  <pageMargins left="0.27" right="0.31" top="0.74803149606299213" bottom="0.74803149606299213" header="0.31496062992125984" footer="0.31496062992125984"/>
  <pageSetup paperSize="9" scale="87" orientation="portrait" r:id="rId1"/>
  <headerFooter>
    <oddHeader>&amp;R&amp;G</oddHeader>
    <oddFooter>&amp;LDuckdatum: &amp;D
&amp;F&amp;R&amp;P/&amp;N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58CBDC3C-D380-44C3-9D6F-CAE7A1820F27}">
          <x14:formula1>
            <xm:f>DATEN!$I$1:$J$1</xm:f>
          </x14:formula1>
          <xm:sqref>K3:N3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E8C36-40FF-4E18-9A42-8768C5A51145}">
  <sheetPr codeName="Tabelle19"/>
  <dimension ref="A1:X58"/>
  <sheetViews>
    <sheetView view="pageBreakPreview" topLeftCell="A3" zoomScaleNormal="120" zoomScaleSheetLayoutView="100" workbookViewId="0">
      <selection activeCell="A12" sqref="A12:B12"/>
    </sheetView>
  </sheetViews>
  <sheetFormatPr baseColWidth="10" defaultColWidth="11" defaultRowHeight="14.25" x14ac:dyDescent="0.2"/>
  <cols>
    <col min="1" max="3" width="8.875" customWidth="1"/>
    <col min="4" max="5" width="6.5" customWidth="1"/>
    <col min="6" max="6" width="10.625" customWidth="1"/>
    <col min="7" max="7" width="8.75" style="9" customWidth="1"/>
    <col min="8" max="8" width="8.875" style="9" customWidth="1"/>
    <col min="9" max="9" width="4.875" style="9" customWidth="1"/>
    <col min="10" max="10" width="8.75" customWidth="1"/>
    <col min="11" max="11" width="4.5" style="9" customWidth="1"/>
    <col min="12" max="13" width="4.5" customWidth="1"/>
    <col min="14" max="14" width="4.5" style="9" customWidth="1"/>
  </cols>
  <sheetData>
    <row r="1" spans="1:18" ht="23.25" x14ac:dyDescent="0.2">
      <c r="A1" s="238" t="s">
        <v>9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1:18" ht="15" x14ac:dyDescent="0.25">
      <c r="A2" s="253" t="s">
        <v>0</v>
      </c>
      <c r="B2" s="254"/>
      <c r="C2" s="254"/>
      <c r="D2" s="254"/>
      <c r="E2" s="254"/>
      <c r="F2" s="255"/>
      <c r="G2" s="161" t="s">
        <v>1</v>
      </c>
      <c r="H2" s="162"/>
      <c r="I2" s="162"/>
      <c r="J2" s="162"/>
      <c r="K2" s="162"/>
      <c r="L2" s="162"/>
      <c r="M2" s="162"/>
      <c r="N2" s="162"/>
    </row>
    <row r="3" spans="1:18" ht="15" x14ac:dyDescent="0.25">
      <c r="A3" s="165" t="str">
        <f>VLOOKUP(DATEN!I2,DATEN!$I$1:$J$39,IF($K$3="Deutsch", 1, 2),FALSE)</f>
        <v>Kunde Name:</v>
      </c>
      <c r="B3" s="167"/>
      <c r="C3" s="11"/>
      <c r="D3" s="212">
        <f>'Bestellung Commande'!C2</f>
        <v>0</v>
      </c>
      <c r="E3" s="212"/>
      <c r="F3" s="212"/>
      <c r="G3" s="256" t="s">
        <v>2</v>
      </c>
      <c r="H3" s="257"/>
      <c r="I3" s="257"/>
      <c r="J3" s="258"/>
      <c r="K3" s="259" t="s">
        <v>3</v>
      </c>
      <c r="L3" s="260"/>
      <c r="M3" s="260"/>
      <c r="N3" s="261"/>
    </row>
    <row r="4" spans="1:18" ht="15" x14ac:dyDescent="0.25">
      <c r="A4" s="10" t="str">
        <f>VLOOKUP(DATEN!I3,DATEN!$I$1:$J$39,IF($K$3="Deutsch", 1, 2),FALSE)</f>
        <v>Kontaktperson:</v>
      </c>
      <c r="B4" s="11"/>
      <c r="C4" s="11"/>
      <c r="D4" s="212">
        <f>'Bestellung Commande'!C3</f>
        <v>0</v>
      </c>
      <c r="E4" s="212"/>
      <c r="F4" s="212"/>
      <c r="G4" s="256" t="str">
        <f>VLOOKUP(DATEN!I9,DATEN!$I$1:$J$39,IF($K$3="Deutsch", 1, 2),FALSE)</f>
        <v>Bestelldatum:</v>
      </c>
      <c r="H4" s="257"/>
      <c r="I4" s="257"/>
      <c r="J4" s="258"/>
      <c r="K4" s="263">
        <f>'Bestellung Commande'!L3</f>
        <v>0</v>
      </c>
      <c r="L4" s="260"/>
      <c r="M4" s="260"/>
      <c r="N4" s="261"/>
    </row>
    <row r="5" spans="1:18" ht="15" x14ac:dyDescent="0.25">
      <c r="A5" s="165" t="str">
        <f>VLOOKUP(DATEN!I4,DATEN!$I$1:$J$39,IF($K$3="Deutsch", 1, 2),FALSE)</f>
        <v>Kommision:</v>
      </c>
      <c r="B5" s="167"/>
      <c r="C5" s="11"/>
      <c r="D5" s="212">
        <f>'Bestellung Commande'!C4</f>
        <v>0</v>
      </c>
      <c r="E5" s="212"/>
      <c r="F5" s="212"/>
      <c r="G5" s="256" t="str">
        <f>VLOOKUP(DATEN!I10,DATEN!$I$1:$J$39,IF($K$3="Deutsch", 1, 2),FALSE)</f>
        <v>Wunsch Liefertermin:</v>
      </c>
      <c r="H5" s="257"/>
      <c r="I5" s="257"/>
      <c r="J5" s="258"/>
      <c r="K5" s="263">
        <f>'Bestellung Commande'!L4</f>
        <v>0</v>
      </c>
      <c r="L5" s="260"/>
      <c r="M5" s="260"/>
      <c r="N5" s="261"/>
    </row>
    <row r="6" spans="1:18" ht="15" x14ac:dyDescent="0.25">
      <c r="A6" s="165" t="str">
        <f>VLOOKUP(DATEN!I5,DATEN!$I$1:$J$39,IF($K$3="Deutsch", 1, 2),FALSE)</f>
        <v>Kontakt Telefon:</v>
      </c>
      <c r="B6" s="167"/>
      <c r="C6" s="11"/>
      <c r="D6" s="212">
        <f>'Bestellung Commande'!C5</f>
        <v>0</v>
      </c>
      <c r="E6" s="212"/>
      <c r="F6" s="212"/>
      <c r="G6" s="163" t="str">
        <f>VLOOKUP(DATEN!I11,DATEN!$I$1:$J$39,IF($K$3="Deutsch", 1, 2),FALSE)</f>
        <v>Bemerkung:</v>
      </c>
      <c r="H6" s="164"/>
      <c r="I6" s="164"/>
      <c r="J6" s="164"/>
      <c r="K6" s="164"/>
      <c r="L6" s="164"/>
      <c r="M6" s="164"/>
      <c r="N6" s="164"/>
    </row>
    <row r="7" spans="1:18" ht="15" x14ac:dyDescent="0.25">
      <c r="A7" s="264" t="s">
        <v>4</v>
      </c>
      <c r="B7" s="264"/>
      <c r="C7" s="264"/>
      <c r="D7" s="264"/>
      <c r="E7" s="264"/>
      <c r="F7" s="264"/>
      <c r="G7" s="225" t="str">
        <f>VLOOKUP(DATEN!I11,DATEN!$I$1:$J$39,IF($K$3="Deutsch", 1, 2),FALSE)</f>
        <v>Bemerkung:</v>
      </c>
      <c r="H7" s="225"/>
      <c r="I7" s="225"/>
      <c r="J7" s="225"/>
      <c r="K7" s="225"/>
      <c r="L7" s="225"/>
      <c r="M7" s="225"/>
      <c r="N7" s="225"/>
    </row>
    <row r="8" spans="1:18" ht="15" x14ac:dyDescent="0.25">
      <c r="A8" s="165" t="str">
        <f>VLOOKUP(DATEN!I6,DATEN!$I$1:$J$39,IF($K$3="Deutsch", 1, 2),FALSE)</f>
        <v>Strasse:</v>
      </c>
      <c r="B8" s="167"/>
      <c r="C8" s="11"/>
      <c r="D8" s="212">
        <f>'Bestellung Commande'!C8</f>
        <v>0</v>
      </c>
      <c r="E8" s="212"/>
      <c r="F8" s="212"/>
      <c r="G8" s="225"/>
      <c r="H8" s="225"/>
      <c r="I8" s="225"/>
      <c r="J8" s="225"/>
      <c r="K8" s="225"/>
      <c r="L8" s="225"/>
      <c r="M8" s="225"/>
      <c r="N8" s="225"/>
    </row>
    <row r="9" spans="1:18" ht="15" x14ac:dyDescent="0.25">
      <c r="A9" s="165" t="str">
        <f>VLOOKUP(DATEN!I7,DATEN!$I$1:$J$39,IF($K$3="Deutsch", 1, 2),FALSE)</f>
        <v>PLZ Ort:</v>
      </c>
      <c r="B9" s="167"/>
      <c r="C9" s="11"/>
      <c r="D9" s="212">
        <f>'Bestellung Commande'!C9</f>
        <v>0</v>
      </c>
      <c r="E9" s="212"/>
      <c r="F9" s="212"/>
      <c r="G9" s="225"/>
      <c r="H9" s="225"/>
      <c r="I9" s="225"/>
      <c r="J9" s="225"/>
      <c r="K9" s="225"/>
      <c r="L9" s="225"/>
      <c r="M9" s="225"/>
      <c r="N9" s="225"/>
    </row>
    <row r="10" spans="1:18" ht="15" customHeight="1" x14ac:dyDescent="0.25">
      <c r="A10" s="165" t="str">
        <f>VLOOKUP(DATEN!I8,DATEN!$I$1:$J$39,IF($K$3="Deutsch", 1, 2),FALSE)</f>
        <v>Kontakt:</v>
      </c>
      <c r="B10" s="167"/>
      <c r="C10" s="11"/>
      <c r="D10" s="212">
        <f>'Bestellung Commande'!C10</f>
        <v>0</v>
      </c>
      <c r="E10" s="212"/>
      <c r="F10" s="212"/>
      <c r="G10" s="262" t="str">
        <f>IF(VLOOKUP($A$17,'Bestellung Commande'!$A$27:$O$65,10,FALSE)&lt;&gt;"","Sonderbau!!!","")</f>
        <v/>
      </c>
      <c r="H10" s="262"/>
      <c r="I10" s="262"/>
      <c r="J10" s="262"/>
      <c r="K10" s="262"/>
      <c r="L10" s="262"/>
      <c r="M10" s="262"/>
      <c r="N10" s="262"/>
    </row>
    <row r="11" spans="1:18" ht="15" customHeight="1" x14ac:dyDescent="0.25">
      <c r="A11" s="264" t="s">
        <v>5</v>
      </c>
      <c r="B11" s="264"/>
      <c r="C11" s="264"/>
      <c r="D11" s="264"/>
      <c r="E11" s="264"/>
      <c r="F11" s="264"/>
      <c r="G11" s="262"/>
      <c r="H11" s="262"/>
      <c r="I11" s="262"/>
      <c r="J11" s="262"/>
      <c r="K11" s="262"/>
      <c r="L11" s="262"/>
      <c r="M11" s="262"/>
      <c r="N11" s="262"/>
    </row>
    <row r="12" spans="1:18" ht="15" customHeight="1" x14ac:dyDescent="0.4">
      <c r="A12" s="165" t="str">
        <f>VLOOKUP(DATEN!I6,DATEN!$I$1:$J$39,IF($K$3="Deutsch", 1, 2),FALSE)</f>
        <v>Strasse:</v>
      </c>
      <c r="B12" s="167"/>
      <c r="C12" s="11"/>
      <c r="D12" s="212">
        <f>'Bestellung Commande'!C12</f>
        <v>0</v>
      </c>
      <c r="E12" s="212"/>
      <c r="F12" s="212"/>
      <c r="G12" s="146"/>
      <c r="H12" s="146"/>
      <c r="I12" s="146"/>
      <c r="J12" s="146"/>
      <c r="K12" s="146"/>
      <c r="L12" s="146"/>
      <c r="M12" s="146"/>
      <c r="N12" s="146"/>
    </row>
    <row r="13" spans="1:18" ht="15" customHeight="1" x14ac:dyDescent="0.4">
      <c r="A13" s="165" t="str">
        <f>VLOOKUP(DATEN!I7,DATEN!$I$1:$J$39,IF($K$3="Deutsch", 1, 2),FALSE)</f>
        <v>PLZ Ort:</v>
      </c>
      <c r="B13" s="167"/>
      <c r="C13" s="11"/>
      <c r="D13" s="212">
        <f>'Bestellung Commande'!C13</f>
        <v>0</v>
      </c>
      <c r="E13" s="212"/>
      <c r="F13" s="212"/>
      <c r="G13" s="146"/>
      <c r="H13" s="146"/>
      <c r="I13" s="146"/>
      <c r="J13" s="146"/>
      <c r="K13" s="146"/>
      <c r="L13" s="146"/>
      <c r="M13" s="146"/>
      <c r="N13" s="146"/>
    </row>
    <row r="14" spans="1:18" ht="15" customHeight="1" x14ac:dyDescent="0.4">
      <c r="A14" s="165" t="str">
        <f>VLOOKUP(DATEN!I8,DATEN!$I$1:$J$39,IF($K$3="Deutsch", 1, 2),FALSE)</f>
        <v>Kontakt:</v>
      </c>
      <c r="B14" s="167"/>
      <c r="C14" s="11"/>
      <c r="D14" s="212">
        <f>'Bestellung Commande'!C14</f>
        <v>0</v>
      </c>
      <c r="E14" s="212"/>
      <c r="F14" s="212"/>
      <c r="G14" s="146"/>
      <c r="H14" s="146"/>
      <c r="I14" s="146"/>
      <c r="J14" s="146"/>
      <c r="K14" s="146"/>
      <c r="L14" s="146"/>
      <c r="M14" s="146"/>
      <c r="N14" s="146"/>
    </row>
    <row r="15" spans="1:18" ht="15.75" thickBot="1" x14ac:dyDescent="0.3">
      <c r="A15" s="140" t="str">
        <f>'Bestellung Commande'!A67</f>
        <v>V9.5</v>
      </c>
      <c r="B15" s="14"/>
      <c r="C15" s="14"/>
      <c r="D15" s="15"/>
      <c r="E15" s="15"/>
      <c r="F15" s="15"/>
      <c r="G15" s="13"/>
      <c r="H15" s="13"/>
      <c r="I15" s="13"/>
      <c r="J15" s="13"/>
      <c r="K15" s="13"/>
      <c r="L15" s="13"/>
      <c r="M15" s="16">
        <f>'Bestellung Commande'!N24</f>
        <v>73</v>
      </c>
      <c r="N15" s="13"/>
      <c r="O15" s="20" t="s">
        <v>220</v>
      </c>
      <c r="P15" s="9"/>
      <c r="Q15" s="9"/>
      <c r="R15" s="9"/>
    </row>
    <row r="16" spans="1:18" s="19" customFormat="1" ht="28.5" customHeight="1" x14ac:dyDescent="0.2">
      <c r="A16" s="17" t="s">
        <v>216</v>
      </c>
      <c r="B16" s="176" t="str">
        <f>VLOOKUP(DATEN!I14,DATEN!$I$1:$J$39,IF($K$3="Deutsch", 1, 2),FALSE)</f>
        <v>Anz.
Flügel</v>
      </c>
      <c r="C16" s="176"/>
      <c r="D16" s="17" t="str">
        <f>VLOOKUP(DATEN!I15,DATEN!$I$1:$J$39,IF($K$3="Deutsch", 1, 2),FALSE)</f>
        <v>Stk Schw.</v>
      </c>
      <c r="E16" s="17" t="str">
        <f>VLOOKUP(DATEN!I16,DATEN!$I$1:$J$39,IF($K$3="Deutsch", 1, 2),FALSE)</f>
        <v>RA</v>
      </c>
      <c r="F16" s="17" t="str">
        <f>VLOOKUP(DATEN!I17,DATEN!$I$1:$J$39,IF($K$3="Deutsch", 1, 2),FALSE)</f>
        <v>RBL 
(min45)</v>
      </c>
      <c r="G16" s="17" t="str">
        <f>VLOOKUP(DATEN!I18,DATEN!$I$1:$J$39,IF($K$3="Deutsch", 1, 2),FALSE)</f>
        <v>RBR 
(min45)</v>
      </c>
      <c r="H16" s="17"/>
      <c r="I16" s="184" t="str">
        <f>VLOOKUP(DATEN!I19,DATEN!$I$1:$J$39,IF($K$3="Deutsch", 1, 2),FALSE)</f>
        <v>Verbreiterungen</v>
      </c>
      <c r="J16" s="185"/>
      <c r="K16" s="185"/>
      <c r="L16" s="185"/>
      <c r="M16" s="18" t="str">
        <f>VLOOKUP(DATEN!I20,DATEN!$I$1:$J$39,IF($K$3="Deutsch",1,2),FALSE)</f>
        <v>Total</v>
      </c>
      <c r="N16" s="17"/>
      <c r="O16" s="20" t="str">
        <f>E25</f>
        <v>Profil</v>
      </c>
      <c r="P16" s="20" t="str">
        <f>A26</f>
        <v>Links</v>
      </c>
      <c r="Q16" s="20" t="str">
        <f>A27</f>
        <v>Rechts</v>
      </c>
      <c r="R16" s="20" t="str">
        <f>A28</f>
        <v>Mittelteil</v>
      </c>
    </row>
    <row r="17" spans="1:24" ht="15" thickBot="1" x14ac:dyDescent="0.25">
      <c r="A17" s="41">
        <v>16</v>
      </c>
      <c r="B17" s="268">
        <f>VLOOKUP($A$17,'Bestellung Commande'!$A$27:$O$65,3,FALSE)</f>
        <v>0</v>
      </c>
      <c r="C17" s="268"/>
      <c r="D17" s="41">
        <f>VLOOKUP($A$17,'Bestellung Commande'!$A$27:$O$65,5,FALSE)</f>
        <v>0</v>
      </c>
      <c r="E17" s="41">
        <f>VLOOKUP($A$17,'Bestellung Commande'!$A$27:$O$65,6,FALSE)</f>
        <v>0</v>
      </c>
      <c r="F17" s="41">
        <f>VLOOKUP($A$17,'Bestellung Commande'!$A$27:$O$65,7,FALSE)</f>
        <v>0</v>
      </c>
      <c r="G17" s="41">
        <f>VLOOKUP($A$17,'Bestellung Commande'!$A$27:$O$65,8,FALSE)</f>
        <v>0</v>
      </c>
      <c r="H17" s="41">
        <f>VLOOKUP($A$17,'Bestellung Commande'!$A$27:$O$65,9,FALSE)</f>
        <v>0</v>
      </c>
      <c r="I17" s="22">
        <f>VLOOKUP($A$17,'Bestellung Commande'!$A$27:$O$65,10,FALSE)</f>
        <v>0</v>
      </c>
      <c r="J17" s="23">
        <f>VLOOKUP($A$17,'Bestellung Commande'!$A$27:$O$65,11,FALSE)</f>
        <v>0</v>
      </c>
      <c r="K17" s="23">
        <f>VLOOKUP($A$17,'Bestellung Commande'!$A$27:$O$65,12,FALSE)</f>
        <v>0</v>
      </c>
      <c r="L17" s="23">
        <f>VLOOKUP($A$17,'Bestellung Commande'!$A$27:$O$65,13,FALSE)</f>
        <v>0</v>
      </c>
      <c r="M17" s="125">
        <f>VLOOKUP($A$17,'Bestellung Commande'!$A$27:$O$65,14,FALSE)</f>
        <v>0</v>
      </c>
      <c r="N17" s="24"/>
      <c r="O17" s="9" t="str">
        <f>F25</f>
        <v>C298927</v>
      </c>
      <c r="P17" s="29">
        <f>F26</f>
        <v>20</v>
      </c>
      <c r="Q17" s="29">
        <f>F27</f>
        <v>20</v>
      </c>
      <c r="R17" s="29">
        <f>F28</f>
        <v>-42</v>
      </c>
    </row>
    <row r="18" spans="1:24" x14ac:dyDescent="0.2">
      <c r="B18" s="41" cm="1">
        <f t="array" ref="B18">INDEX('Bestellung Commande'!$C$27:$C$66, MATCH($A$17, 'Bestellung Commande'!$A$27:$A$66, 0) + 1)</f>
        <v>0</v>
      </c>
      <c r="C18" s="41" cm="1">
        <f t="array" ref="C18">INDEX('Bestellung Commande'!$D$27:$D$66, MATCH($A$17, 'Bestellung Commande'!$A$27:$A$66, 0) + 1)</f>
        <v>0</v>
      </c>
    </row>
    <row r="20" spans="1:24" ht="15" x14ac:dyDescent="0.25">
      <c r="A20" s="267" t="s">
        <v>10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</row>
    <row r="21" spans="1:24" ht="15" x14ac:dyDescent="0.25">
      <c r="E21" s="25" t="s">
        <v>11</v>
      </c>
      <c r="F21" s="9" t="s">
        <v>12</v>
      </c>
      <c r="G21"/>
      <c r="H21"/>
      <c r="I21"/>
    </row>
    <row r="22" spans="1:24" x14ac:dyDescent="0.2">
      <c r="E22" t="s">
        <v>13</v>
      </c>
      <c r="F22" s="26">
        <f>E17</f>
        <v>0</v>
      </c>
      <c r="G22"/>
      <c r="H22"/>
      <c r="I22"/>
    </row>
    <row r="23" spans="1:24" x14ac:dyDescent="0.2">
      <c r="F23" s="9">
        <f>B17</f>
        <v>0</v>
      </c>
      <c r="G23"/>
      <c r="H23"/>
      <c r="I23"/>
    </row>
    <row r="24" spans="1:24" ht="15" x14ac:dyDescent="0.25">
      <c r="A24" s="267" t="s">
        <v>14</v>
      </c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</row>
    <row r="25" spans="1:24" ht="15" x14ac:dyDescent="0.25">
      <c r="E25" s="25" t="s">
        <v>11</v>
      </c>
      <c r="F25" s="9" t="s">
        <v>15</v>
      </c>
      <c r="G25"/>
      <c r="H25"/>
      <c r="I25"/>
    </row>
    <row r="26" spans="1:24" x14ac:dyDescent="0.2">
      <c r="A26" t="s">
        <v>16</v>
      </c>
      <c r="E26" t="s">
        <v>13</v>
      </c>
      <c r="F26" s="26">
        <f>F17+20</f>
        <v>20</v>
      </c>
      <c r="G26"/>
      <c r="H26"/>
      <c r="I26"/>
      <c r="W26" s="121" t="s">
        <v>208</v>
      </c>
      <c r="X26" s="122">
        <f>F37-F36</f>
        <v>-100</v>
      </c>
    </row>
    <row r="27" spans="1:24" x14ac:dyDescent="0.2">
      <c r="A27" t="s">
        <v>17</v>
      </c>
      <c r="E27" t="s">
        <v>13</v>
      </c>
      <c r="F27" s="26">
        <f>G17+20</f>
        <v>20</v>
      </c>
      <c r="G27"/>
      <c r="H27"/>
      <c r="I27"/>
      <c r="W27" t="s">
        <v>209</v>
      </c>
      <c r="X27">
        <f>[1]DATEN!D14</f>
        <v>300</v>
      </c>
    </row>
    <row r="28" spans="1:24" x14ac:dyDescent="0.2">
      <c r="A28" t="s">
        <v>18</v>
      </c>
      <c r="E28" t="s">
        <v>13</v>
      </c>
      <c r="F28" s="26">
        <f>(E17-(F26+F27))-2</f>
        <v>-42</v>
      </c>
      <c r="G28"/>
      <c r="H28"/>
      <c r="I28"/>
      <c r="P28" t="s">
        <v>293</v>
      </c>
      <c r="T28" t="s">
        <v>294</v>
      </c>
      <c r="W28" t="s">
        <v>210</v>
      </c>
      <c r="X28">
        <f>ROUNDUP(X26/X27,0)</f>
        <v>-1</v>
      </c>
    </row>
    <row r="29" spans="1:24" ht="15" x14ac:dyDescent="0.25">
      <c r="A29" s="267" t="s">
        <v>19</v>
      </c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7" t="str">
        <f t="shared" ref="O29:O39" si="0">IF(AND($F$32&gt;=Q29,$F$32&lt;R29),P29,"")</f>
        <v/>
      </c>
      <c r="P29" s="28" t="str">
        <f>" "</f>
        <v xml:space="preserve"> </v>
      </c>
      <c r="Q29" s="28">
        <v>-1000000</v>
      </c>
      <c r="R29" s="28">
        <v>0</v>
      </c>
      <c r="S29" s="27" t="str">
        <f t="shared" ref="S29:S39" si="1">IF(AND($G$32&gt;=U29,$G$32&lt;V29),T29,"")</f>
        <v/>
      </c>
      <c r="T29" s="28" t="str">
        <f t="shared" ref="T29:T30" si="2">P29</f>
        <v xml:space="preserve"> </v>
      </c>
      <c r="U29" s="28">
        <f t="shared" ref="U29:U30" si="3">Q29</f>
        <v>-1000000</v>
      </c>
      <c r="V29" s="28">
        <f t="shared" ref="V29:V30" si="4">R29</f>
        <v>0</v>
      </c>
      <c r="W29" t="s">
        <v>211</v>
      </c>
      <c r="X29">
        <f>X26/X28</f>
        <v>100</v>
      </c>
    </row>
    <row r="30" spans="1:24" ht="15" x14ac:dyDescent="0.25">
      <c r="F30" s="25" t="s">
        <v>293</v>
      </c>
      <c r="G30" s="25" t="s">
        <v>294</v>
      </c>
      <c r="H30"/>
      <c r="I30"/>
      <c r="K30"/>
      <c r="N30"/>
      <c r="O30" s="27" t="str">
        <f t="shared" si="0"/>
        <v/>
      </c>
      <c r="P30" s="28"/>
      <c r="Q30" s="28">
        <v>0.1</v>
      </c>
      <c r="R30" s="28">
        <v>247.9</v>
      </c>
      <c r="S30" s="27" t="str">
        <f t="shared" si="1"/>
        <v/>
      </c>
      <c r="T30" s="28">
        <f t="shared" si="2"/>
        <v>0</v>
      </c>
      <c r="U30" s="28">
        <f t="shared" si="3"/>
        <v>0.1</v>
      </c>
      <c r="V30" s="28">
        <f t="shared" si="4"/>
        <v>247.9</v>
      </c>
    </row>
    <row r="31" spans="1:24" x14ac:dyDescent="0.2">
      <c r="F31" s="9" t="str">
        <f>O29&amp;O31&amp;O32&amp;O33&amp;O34&amp;O35&amp;O36&amp;O37&amp;O38&amp;O39</f>
        <v/>
      </c>
      <c r="G31" s="9" t="str">
        <f>S29&amp;S31&amp;S32&amp;S33&amp;S34&amp;S35&amp;S36&amp;S37&amp;S38&amp;S39</f>
        <v/>
      </c>
      <c r="I31"/>
      <c r="O31" s="27" t="str">
        <f t="shared" si="0"/>
        <v/>
      </c>
      <c r="P31" s="28" t="str">
        <f>DATEN!M7</f>
        <v>C555366</v>
      </c>
      <c r="Q31" s="28">
        <f>DATEN!N7</f>
        <v>275</v>
      </c>
      <c r="R31" s="28">
        <f>DATEN!O7</f>
        <v>400</v>
      </c>
      <c r="S31" s="27" t="str">
        <f t="shared" si="1"/>
        <v/>
      </c>
      <c r="T31" s="28" t="str">
        <f>P31</f>
        <v>C555366</v>
      </c>
      <c r="U31" s="28">
        <f t="shared" ref="U31:V39" si="5">Q31</f>
        <v>275</v>
      </c>
      <c r="V31" s="28">
        <f t="shared" si="5"/>
        <v>400</v>
      </c>
      <c r="W31">
        <v>1</v>
      </c>
      <c r="X31" s="29">
        <f>F36</f>
        <v>50</v>
      </c>
    </row>
    <row r="32" spans="1:24" x14ac:dyDescent="0.2">
      <c r="A32" t="s">
        <v>13</v>
      </c>
      <c r="F32" s="26" t="b">
        <f>IF(AND(B17=1,B18=0),H17,IF(AND(B17=1,B18&gt;0),B18,IF(AND(B17=2,B18=0),(H17-20)/2,IF(AND(B17=2,B18&gt;0),B18))))</f>
        <v>0</v>
      </c>
      <c r="G32" s="26">
        <f>IF(B17=1,0,IF(AND(B17=2,C18=0),0,C18))</f>
        <v>0</v>
      </c>
      <c r="I32"/>
      <c r="O32" s="27" t="str">
        <f t="shared" si="0"/>
        <v/>
      </c>
      <c r="P32" s="28" t="str">
        <f>DATEN!M8</f>
        <v>C555367</v>
      </c>
      <c r="Q32" s="28">
        <f>DATEN!N8</f>
        <v>400</v>
      </c>
      <c r="R32" s="28">
        <f>DATEN!O8</f>
        <v>550</v>
      </c>
      <c r="S32" s="27" t="str">
        <f t="shared" si="1"/>
        <v/>
      </c>
      <c r="T32" s="28" t="str">
        <f t="shared" ref="T32:T39" si="6">P32</f>
        <v>C555367</v>
      </c>
      <c r="U32" s="28">
        <f t="shared" si="5"/>
        <v>400</v>
      </c>
      <c r="V32" s="28">
        <f t="shared" si="5"/>
        <v>550</v>
      </c>
      <c r="W32">
        <v>2</v>
      </c>
      <c r="X32" s="29">
        <f>ROUND(IF(W32-1&gt;$X$28,0,X31+$X$29),0)</f>
        <v>0</v>
      </c>
    </row>
    <row r="33" spans="1:24" x14ac:dyDescent="0.2">
      <c r="A33" t="s">
        <v>23</v>
      </c>
      <c r="F33" s="30">
        <f>IF(AND(B17=2,B18=0),B17,1)*D17</f>
        <v>0</v>
      </c>
      <c r="G33" s="30">
        <f>IF(G32&gt;0,1,0)*D17</f>
        <v>0</v>
      </c>
      <c r="I33"/>
      <c r="O33" s="27" t="str">
        <f t="shared" si="0"/>
        <v/>
      </c>
      <c r="P33" s="28" t="str">
        <f>DATEN!M9</f>
        <v>C555368</v>
      </c>
      <c r="Q33" s="28">
        <f>DATEN!N9</f>
        <v>550</v>
      </c>
      <c r="R33" s="28">
        <f>DATEN!O9</f>
        <v>700</v>
      </c>
      <c r="S33" s="27" t="str">
        <f t="shared" si="1"/>
        <v/>
      </c>
      <c r="T33" s="28" t="str">
        <f t="shared" si="6"/>
        <v>C555368</v>
      </c>
      <c r="U33" s="28">
        <f t="shared" si="5"/>
        <v>550</v>
      </c>
      <c r="V33" s="28">
        <f t="shared" si="5"/>
        <v>700</v>
      </c>
      <c r="W33">
        <v>3</v>
      </c>
      <c r="X33" s="29">
        <f t="shared" ref="X33:X40" si="7">ROUND(IF(W33-1&gt;$X$28,0,X32+$X$29),0)</f>
        <v>0</v>
      </c>
    </row>
    <row r="34" spans="1:24" ht="15" x14ac:dyDescent="0.25">
      <c r="A34" s="267" t="s">
        <v>25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7" t="str">
        <f>IF(AND($F$32&gt;=Q34,$F$32&lt;R34),P34,"")</f>
        <v/>
      </c>
      <c r="P34" s="28" t="str">
        <f>DATEN!M10</f>
        <v>C555369</v>
      </c>
      <c r="Q34" s="28">
        <f>DATEN!N10</f>
        <v>700</v>
      </c>
      <c r="R34" s="28">
        <f>DATEN!O10</f>
        <v>850</v>
      </c>
      <c r="S34" s="27" t="str">
        <f t="shared" si="1"/>
        <v/>
      </c>
      <c r="T34" s="28" t="str">
        <f t="shared" si="6"/>
        <v>C555369</v>
      </c>
      <c r="U34" s="28">
        <f t="shared" si="5"/>
        <v>700</v>
      </c>
      <c r="V34" s="28">
        <f t="shared" si="5"/>
        <v>850</v>
      </c>
      <c r="W34">
        <v>4</v>
      </c>
      <c r="X34" s="29">
        <f t="shared" si="7"/>
        <v>0</v>
      </c>
    </row>
    <row r="35" spans="1:24" ht="15" x14ac:dyDescent="0.25">
      <c r="A35" s="31" t="s">
        <v>27</v>
      </c>
      <c r="F35" s="9" t="s">
        <v>28</v>
      </c>
      <c r="G35" s="32" t="s">
        <v>29</v>
      </c>
      <c r="H35" s="32"/>
      <c r="I35"/>
      <c r="O35" s="27" t="str">
        <f t="shared" si="0"/>
        <v/>
      </c>
      <c r="P35" s="28" t="str">
        <f>DATEN!M11</f>
        <v>C555370</v>
      </c>
      <c r="Q35" s="28">
        <f>DATEN!N11</f>
        <v>850</v>
      </c>
      <c r="R35" s="28">
        <f>DATEN!O11</f>
        <v>1000</v>
      </c>
      <c r="S35" s="27" t="str">
        <f>IF(AND($G$32&gt;=U35,$G$32&lt;V35),T35,"")</f>
        <v/>
      </c>
      <c r="T35" s="28" t="str">
        <f t="shared" si="6"/>
        <v>C555370</v>
      </c>
      <c r="U35" s="28">
        <f t="shared" si="5"/>
        <v>850</v>
      </c>
      <c r="V35" s="28">
        <f t="shared" si="5"/>
        <v>1000</v>
      </c>
      <c r="W35">
        <v>5</v>
      </c>
      <c r="X35" s="29">
        <f t="shared" si="7"/>
        <v>0</v>
      </c>
    </row>
    <row r="36" spans="1:24" x14ac:dyDescent="0.2">
      <c r="A36" t="s">
        <v>31</v>
      </c>
      <c r="F36" s="26">
        <f>F17+50</f>
        <v>50</v>
      </c>
      <c r="G36"/>
      <c r="H36" t="s">
        <v>206</v>
      </c>
      <c r="I36"/>
      <c r="O36" s="27" t="str">
        <f t="shared" si="0"/>
        <v/>
      </c>
      <c r="P36" s="28" t="str">
        <f>DATEN!M12</f>
        <v>C555371</v>
      </c>
      <c r="Q36" s="28">
        <f>DATEN!N12</f>
        <v>1000</v>
      </c>
      <c r="R36" s="28">
        <f>DATEN!O12</f>
        <v>1150</v>
      </c>
      <c r="S36" s="27" t="str">
        <f t="shared" si="1"/>
        <v/>
      </c>
      <c r="T36" s="28" t="str">
        <f t="shared" si="6"/>
        <v>C555371</v>
      </c>
      <c r="U36" s="28">
        <f t="shared" si="5"/>
        <v>1000</v>
      </c>
      <c r="V36" s="28">
        <f t="shared" si="5"/>
        <v>1150</v>
      </c>
      <c r="W36">
        <v>6</v>
      </c>
      <c r="X36" s="29">
        <f t="shared" si="7"/>
        <v>0</v>
      </c>
    </row>
    <row r="37" spans="1:24" x14ac:dyDescent="0.2">
      <c r="A37" t="s">
        <v>33</v>
      </c>
      <c r="F37" s="26">
        <f>F17+H17-DATEN!$D$13</f>
        <v>-50</v>
      </c>
      <c r="H37" t="s">
        <v>36</v>
      </c>
      <c r="I37"/>
      <c r="J37" s="9">
        <f>X28+1</f>
        <v>0</v>
      </c>
      <c r="O37" s="27" t="str">
        <f t="shared" si="0"/>
        <v/>
      </c>
      <c r="P37" s="28" t="str">
        <f>DATEN!M13</f>
        <v>C555372</v>
      </c>
      <c r="Q37" s="28">
        <f>DATEN!N13</f>
        <v>1150</v>
      </c>
      <c r="R37" s="28">
        <f>DATEN!O13</f>
        <v>1300</v>
      </c>
      <c r="S37" s="27" t="str">
        <f t="shared" si="1"/>
        <v/>
      </c>
      <c r="T37" s="28" t="str">
        <f t="shared" si="6"/>
        <v>C555372</v>
      </c>
      <c r="U37" s="28">
        <f t="shared" si="5"/>
        <v>1150</v>
      </c>
      <c r="V37" s="28">
        <f t="shared" si="5"/>
        <v>1300</v>
      </c>
      <c r="W37">
        <v>7</v>
      </c>
      <c r="X37" s="29">
        <f t="shared" si="7"/>
        <v>0</v>
      </c>
    </row>
    <row r="38" spans="1:24" x14ac:dyDescent="0.2">
      <c r="A38" s="33" t="s">
        <v>35</v>
      </c>
      <c r="F38" s="123" t="str">
        <f>X31&amp;IF(X32="",""," / ")&amp;X32  &amp; IF(X33="",""," / ")&amp;X33&amp; IF(X34="",""," / ")&amp;X34&amp; IF(X35="",""," / ")&amp;X35&amp; IF(X36="",""," / ")&amp;X36&amp; IF(X37="",""," / ")&amp;X37&amp; IF(X38="",""," / ")&amp;X38&amp; IF(X39="",""," / ")&amp;X39&amp; IF(X40="",""," / ")&amp;X40</f>
        <v>50 / 0 / 0 / 0 / 0 / 0 / 0 / 0 / 0 / 0</v>
      </c>
      <c r="O38" s="27" t="str">
        <f t="shared" si="0"/>
        <v/>
      </c>
      <c r="P38" s="28" t="str">
        <f>DATEN!M14</f>
        <v>C555373</v>
      </c>
      <c r="Q38" s="28">
        <f>DATEN!N14</f>
        <v>1300</v>
      </c>
      <c r="R38" s="28">
        <f>DATEN!O14</f>
        <v>1450</v>
      </c>
      <c r="S38" s="27" t="str">
        <f t="shared" si="1"/>
        <v/>
      </c>
      <c r="T38" s="28" t="str">
        <f t="shared" si="6"/>
        <v>C555373</v>
      </c>
      <c r="U38" s="28">
        <f t="shared" si="5"/>
        <v>1300</v>
      </c>
      <c r="V38" s="28">
        <f t="shared" si="5"/>
        <v>1450</v>
      </c>
      <c r="W38">
        <v>8</v>
      </c>
      <c r="X38" s="29">
        <f t="shared" si="7"/>
        <v>0</v>
      </c>
    </row>
    <row r="39" spans="1:24" x14ac:dyDescent="0.2">
      <c r="F39" s="9"/>
      <c r="G39"/>
      <c r="H39"/>
      <c r="I39"/>
      <c r="O39" s="27" t="str">
        <f t="shared" si="0"/>
        <v/>
      </c>
      <c r="P39" s="28" t="str">
        <f>DATEN!M15</f>
        <v>Zu Lang</v>
      </c>
      <c r="Q39" s="28">
        <f>DATEN!N15</f>
        <v>1450.1</v>
      </c>
      <c r="R39" s="28">
        <f>DATEN!O15</f>
        <v>1000000</v>
      </c>
      <c r="S39" s="27" t="str">
        <f t="shared" si="1"/>
        <v/>
      </c>
      <c r="T39" s="28" t="str">
        <f t="shared" si="6"/>
        <v>Zu Lang</v>
      </c>
      <c r="U39" s="28">
        <f t="shared" si="5"/>
        <v>1450.1</v>
      </c>
      <c r="V39" s="28">
        <f t="shared" si="5"/>
        <v>1000000</v>
      </c>
      <c r="W39">
        <v>9</v>
      </c>
      <c r="X39" s="29">
        <f t="shared" si="7"/>
        <v>0</v>
      </c>
    </row>
    <row r="40" spans="1:24" ht="15" x14ac:dyDescent="0.25">
      <c r="A40" s="267" t="s">
        <v>39</v>
      </c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W40">
        <v>10</v>
      </c>
      <c r="X40" s="29">
        <f t="shared" si="7"/>
        <v>0</v>
      </c>
    </row>
    <row r="41" spans="1:24" x14ac:dyDescent="0.2">
      <c r="A41" t="s">
        <v>41</v>
      </c>
      <c r="F41" s="26">
        <f>G17-15</f>
        <v>-15</v>
      </c>
      <c r="G41"/>
      <c r="H41"/>
      <c r="I41"/>
    </row>
    <row r="42" spans="1:24" x14ac:dyDescent="0.2">
      <c r="A42" t="s">
        <v>42</v>
      </c>
      <c r="F42" s="26">
        <f>E17-G17+15</f>
        <v>15</v>
      </c>
      <c r="G42"/>
      <c r="H42"/>
      <c r="I42"/>
    </row>
    <row r="43" spans="1:24" x14ac:dyDescent="0.2">
      <c r="A43" t="s">
        <v>43</v>
      </c>
      <c r="F43" s="26">
        <f>G17-35</f>
        <v>-35</v>
      </c>
      <c r="G43"/>
      <c r="H43"/>
      <c r="I43"/>
    </row>
    <row r="44" spans="1:24" x14ac:dyDescent="0.2">
      <c r="A44" t="s">
        <v>44</v>
      </c>
      <c r="F44" s="26">
        <f>E17-G17+35</f>
        <v>35</v>
      </c>
      <c r="G44"/>
      <c r="H44"/>
      <c r="I44"/>
    </row>
    <row r="45" spans="1:24" x14ac:dyDescent="0.2">
      <c r="A45" t="s">
        <v>45</v>
      </c>
      <c r="F45" s="26">
        <f>F17-23</f>
        <v>-23</v>
      </c>
      <c r="G45"/>
      <c r="H45"/>
      <c r="I45"/>
    </row>
    <row r="46" spans="1:24" x14ac:dyDescent="0.2">
      <c r="A46" t="s">
        <v>46</v>
      </c>
      <c r="F46" s="26">
        <f>E17-G17+23</f>
        <v>23</v>
      </c>
      <c r="G46"/>
      <c r="H46"/>
      <c r="I46"/>
    </row>
    <row r="47" spans="1:24" x14ac:dyDescent="0.2">
      <c r="F47" s="9"/>
      <c r="G47"/>
      <c r="H47"/>
      <c r="I47"/>
      <c r="P47" s="9"/>
    </row>
    <row r="48" spans="1:24" ht="15" x14ac:dyDescent="0.25">
      <c r="A48" s="34" t="s">
        <v>47</v>
      </c>
      <c r="B48" s="35"/>
      <c r="C48" s="35"/>
      <c r="D48" s="35"/>
      <c r="E48" s="35"/>
      <c r="F48" s="35" t="s">
        <v>48</v>
      </c>
      <c r="G48" s="35"/>
      <c r="H48" s="35"/>
      <c r="I48" s="35"/>
      <c r="J48" s="35"/>
      <c r="K48" s="35"/>
      <c r="L48" s="35"/>
    </row>
    <row r="49" spans="1:14" x14ac:dyDescent="0.2">
      <c r="A49" t="s">
        <v>49</v>
      </c>
      <c r="F49" s="26">
        <v>25</v>
      </c>
      <c r="G49"/>
      <c r="H49"/>
      <c r="I49"/>
    </row>
    <row r="50" spans="1:14" x14ac:dyDescent="0.2">
      <c r="A50" t="s">
        <v>33</v>
      </c>
      <c r="F50" s="26">
        <f>F28-25</f>
        <v>-67</v>
      </c>
      <c r="G50"/>
      <c r="H50"/>
      <c r="I50"/>
    </row>
    <row r="51" spans="1:14" x14ac:dyDescent="0.2">
      <c r="A51" s="33" t="s">
        <v>35</v>
      </c>
      <c r="F51" s="36" t="s">
        <v>50</v>
      </c>
      <c r="G51"/>
      <c r="H51"/>
      <c r="I51" t="s">
        <v>36</v>
      </c>
    </row>
    <row r="52" spans="1:14" x14ac:dyDescent="0.2">
      <c r="F52" s="129" t="str">
        <f>IF(B17=2,"Achtung!! 2 Flüglig!! Mittleres Loch auslassen","")</f>
        <v/>
      </c>
      <c r="G52"/>
      <c r="H52"/>
      <c r="I52"/>
    </row>
    <row r="53" spans="1:14" ht="15" x14ac:dyDescent="0.25">
      <c r="A53" s="267" t="s">
        <v>51</v>
      </c>
      <c r="B53" s="267"/>
      <c r="C53" s="267"/>
      <c r="D53" s="267"/>
      <c r="E53" s="267"/>
      <c r="F53" s="267"/>
      <c r="G53" s="267"/>
      <c r="H53" s="267"/>
      <c r="I53" s="267"/>
      <c r="J53" s="267"/>
      <c r="K53" s="267"/>
      <c r="L53" s="267"/>
    </row>
    <row r="54" spans="1:14" x14ac:dyDescent="0.2">
      <c r="A54" s="35" t="s">
        <v>52</v>
      </c>
      <c r="B54" s="37" t="s">
        <v>53</v>
      </c>
      <c r="C54" s="37"/>
      <c r="D54" s="206" t="s">
        <v>54</v>
      </c>
      <c r="E54" s="206"/>
      <c r="F54" s="35" t="s">
        <v>55</v>
      </c>
      <c r="G54" s="35"/>
      <c r="H54" s="35"/>
      <c r="I54" s="35"/>
      <c r="J54" s="35"/>
      <c r="K54" s="266" t="s">
        <v>13</v>
      </c>
      <c r="L54" s="266"/>
    </row>
    <row r="55" spans="1:14" x14ac:dyDescent="0.2">
      <c r="A55" s="12">
        <v>1</v>
      </c>
      <c r="B55" s="9">
        <f>VLOOKUP(A17,'Bestellung Commande'!A27:O65,11,FALSE)</f>
        <v>0</v>
      </c>
      <c r="C55" s="9"/>
      <c r="D55" s="252">
        <f>IF(ISERROR(VLOOKUP($B55,DATEN!$A$3:$D$10,2,FALSE)),"",VLOOKUP($B55,DATEN!$A$3:$D$10,2,FALSE))</f>
        <v>0</v>
      </c>
      <c r="E55" s="252"/>
      <c r="F55" s="12">
        <f>IF(ISERROR(VLOOKUP($B55,DATEN!$A$3:$D$10,3,FALSE)),"",VLOOKUP($B55,DATEN!$A$3:$D$10,3,FALSE))</f>
        <v>0</v>
      </c>
      <c r="G55"/>
      <c r="H55"/>
      <c r="K55" s="265">
        <f>$F$22</f>
        <v>0</v>
      </c>
      <c r="L55" s="265"/>
    </row>
    <row r="56" spans="1:14" x14ac:dyDescent="0.2">
      <c r="A56" s="12">
        <v>2</v>
      </c>
      <c r="B56" s="9">
        <f>VLOOKUP(A17,'Bestellung Commande'!A27:O65,12,FALSE)</f>
        <v>0</v>
      </c>
      <c r="C56" s="9"/>
      <c r="D56" s="252">
        <f>IF(ISERROR(VLOOKUP($B56,DATEN!$A$3:$D$10,2,FALSE)),"",VLOOKUP($B56,DATEN!$A$3:$D$10,2,FALSE))</f>
        <v>0</v>
      </c>
      <c r="E56" s="252"/>
      <c r="F56" s="9">
        <f>IF(ISERROR(VLOOKUP($B56,DATEN!$A$3:$D$10,3,FALSE)),"",VLOOKUP($B56,DATEN!$A$3:$D$10,3,FALSE))</f>
        <v>0</v>
      </c>
      <c r="G56"/>
      <c r="H56"/>
      <c r="K56" s="265">
        <f t="shared" ref="K56:K58" si="8">$F$22</f>
        <v>0</v>
      </c>
      <c r="L56" s="265"/>
    </row>
    <row r="57" spans="1:14" x14ac:dyDescent="0.2">
      <c r="A57" s="12">
        <v>3</v>
      </c>
      <c r="B57" s="9">
        <f>VLOOKUP(A17,'Bestellung Commande'!A27:O65,13,FALSE)</f>
        <v>0</v>
      </c>
      <c r="C57" s="9"/>
      <c r="D57" s="252">
        <f>IF(ISERROR(VLOOKUP($B57,DATEN!$A$3:$D$10,2,FALSE)),"",VLOOKUP($B57,DATEN!$A$3:$D$10,2,FALSE))</f>
        <v>0</v>
      </c>
      <c r="E57" s="252"/>
      <c r="F57" s="9">
        <f>IF(ISERROR(VLOOKUP($B57,DATEN!$A$3:$D$10,3,FALSE)),"",VLOOKUP($B57,DATEN!$A$3:$D$10,3,FALSE))</f>
        <v>0</v>
      </c>
      <c r="K57" s="265">
        <f t="shared" si="8"/>
        <v>0</v>
      </c>
      <c r="L57" s="265"/>
    </row>
    <row r="58" spans="1:14" x14ac:dyDescent="0.2">
      <c r="A58" s="12">
        <v>4</v>
      </c>
      <c r="B58" s="9">
        <f>VLOOKUP(A17,'Bestellung Commande'!A27:O65,14,FALSE)</f>
        <v>0</v>
      </c>
      <c r="C58" s="9"/>
      <c r="D58" s="252">
        <f>IF(ISERROR(VLOOKUP($B58,DATEN!$A$3:$D$10,2,FALSE)),"",VLOOKUP($B58,DATEN!$A$3:$D$10,2,FALSE))</f>
        <v>0</v>
      </c>
      <c r="E58" s="252"/>
      <c r="F58" s="9">
        <f>IF(ISERROR(VLOOKUP($B58,DATEN!$A$3:$D$10,3,FALSE)),"",VLOOKUP($B58,DATEN!$A$3:$D$10,3,FALSE))</f>
        <v>0</v>
      </c>
      <c r="K58" s="265">
        <f t="shared" si="8"/>
        <v>0</v>
      </c>
      <c r="L58" s="265"/>
      <c r="N58" s="46">
        <f>'Bestellung Commande'!B44</f>
        <v>0</v>
      </c>
    </row>
  </sheetData>
  <sheetProtection algorithmName="SHA-512" hashValue="u0XK01fcJEeXMfoTpcfEYkRIFZsboNLTru07DAZLh6fITrBWhVFG5DH6uRu4kho8lIEk0cH5jpr3qXyDniGNbA==" saltValue="b16K9QxMde9gRZzttb7a8A==" spinCount="100000" sheet="1" objects="1" scenarios="1"/>
  <mergeCells count="52">
    <mergeCell ref="D57:E57"/>
    <mergeCell ref="K57:L57"/>
    <mergeCell ref="D58:E58"/>
    <mergeCell ref="K58:L58"/>
    <mergeCell ref="A53:L53"/>
    <mergeCell ref="D54:E54"/>
    <mergeCell ref="K54:L54"/>
    <mergeCell ref="D55:E55"/>
    <mergeCell ref="K55:L55"/>
    <mergeCell ref="D56:E56"/>
    <mergeCell ref="K56:L56"/>
    <mergeCell ref="A40:L40"/>
    <mergeCell ref="A13:B13"/>
    <mergeCell ref="D13:F13"/>
    <mergeCell ref="A14:B14"/>
    <mergeCell ref="D14:F14"/>
    <mergeCell ref="B16:C16"/>
    <mergeCell ref="I16:L16"/>
    <mergeCell ref="B17:C17"/>
    <mergeCell ref="A20:N20"/>
    <mergeCell ref="A24:N24"/>
    <mergeCell ref="A29:N29"/>
    <mergeCell ref="A34:N34"/>
    <mergeCell ref="A10:B10"/>
    <mergeCell ref="D10:F10"/>
    <mergeCell ref="G10:N11"/>
    <mergeCell ref="A11:F11"/>
    <mergeCell ref="A12:B12"/>
    <mergeCell ref="D12:F12"/>
    <mergeCell ref="A6:B6"/>
    <mergeCell ref="D6:F6"/>
    <mergeCell ref="G6:N6"/>
    <mergeCell ref="A7:F7"/>
    <mergeCell ref="G7:N9"/>
    <mergeCell ref="A8:B8"/>
    <mergeCell ref="D8:F8"/>
    <mergeCell ref="A9:B9"/>
    <mergeCell ref="D9:F9"/>
    <mergeCell ref="D4:F4"/>
    <mergeCell ref="G4:J4"/>
    <mergeCell ref="K4:N4"/>
    <mergeCell ref="A5:B5"/>
    <mergeCell ref="D5:F5"/>
    <mergeCell ref="G5:J5"/>
    <mergeCell ref="K5:N5"/>
    <mergeCell ref="A1:N1"/>
    <mergeCell ref="A2:F2"/>
    <mergeCell ref="G2:N2"/>
    <mergeCell ref="A3:B3"/>
    <mergeCell ref="D3:F3"/>
    <mergeCell ref="G3:J3"/>
    <mergeCell ref="K3:N3"/>
  </mergeCells>
  <printOptions horizontalCentered="1"/>
  <pageMargins left="0.27" right="0.31" top="0.74803149606299213" bottom="0.74803149606299213" header="0.31496062992125984" footer="0.31496062992125984"/>
  <pageSetup paperSize="9" scale="87" orientation="portrait" r:id="rId1"/>
  <headerFooter>
    <oddHeader>&amp;R&amp;G</oddHeader>
    <oddFooter>&amp;LDuckdatum: &amp;D
&amp;F&amp;R&amp;P/&amp;N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6F1242-7FA4-4F60-89DD-7DE9493EBF5F}">
          <x14:formula1>
            <xm:f>DATEN!$I$1:$J$1</xm:f>
          </x14:formula1>
          <xm:sqref>K3:N3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B69C5-C237-48C3-89A8-2FC5631C0203}">
  <sheetPr codeName="Tabelle20"/>
  <dimension ref="A1:X58"/>
  <sheetViews>
    <sheetView view="pageBreakPreview" topLeftCell="A3" zoomScaleNormal="120" zoomScaleSheetLayoutView="100" workbookViewId="0">
      <selection activeCell="A12" sqref="A12:B12"/>
    </sheetView>
  </sheetViews>
  <sheetFormatPr baseColWidth="10" defaultColWidth="11" defaultRowHeight="14.25" x14ac:dyDescent="0.2"/>
  <cols>
    <col min="1" max="3" width="8.875" customWidth="1"/>
    <col min="4" max="5" width="6.5" customWidth="1"/>
    <col min="6" max="6" width="10.625" customWidth="1"/>
    <col min="7" max="7" width="8.75" style="9" customWidth="1"/>
    <col min="8" max="8" width="8.875" style="9" customWidth="1"/>
    <col min="9" max="9" width="4.875" style="9" customWidth="1"/>
    <col min="10" max="10" width="8.75" customWidth="1"/>
    <col min="11" max="11" width="4.5" style="9" customWidth="1"/>
    <col min="12" max="13" width="4.5" customWidth="1"/>
    <col min="14" max="14" width="4.5" style="9" customWidth="1"/>
  </cols>
  <sheetData>
    <row r="1" spans="1:18" ht="23.25" x14ac:dyDescent="0.2">
      <c r="A1" s="238" t="s">
        <v>9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1:18" ht="15" x14ac:dyDescent="0.25">
      <c r="A2" s="253" t="s">
        <v>0</v>
      </c>
      <c r="B2" s="254"/>
      <c r="C2" s="254"/>
      <c r="D2" s="254"/>
      <c r="E2" s="254"/>
      <c r="F2" s="255"/>
      <c r="G2" s="161" t="s">
        <v>1</v>
      </c>
      <c r="H2" s="162"/>
      <c r="I2" s="162"/>
      <c r="J2" s="162"/>
      <c r="K2" s="162"/>
      <c r="L2" s="162"/>
      <c r="M2" s="162"/>
      <c r="N2" s="162"/>
    </row>
    <row r="3" spans="1:18" ht="15" x14ac:dyDescent="0.25">
      <c r="A3" s="165" t="str">
        <f>VLOOKUP(DATEN!I2,DATEN!$I$1:$J$39,IF($K$3="Deutsch", 1, 2),FALSE)</f>
        <v>Kunde Name:</v>
      </c>
      <c r="B3" s="167"/>
      <c r="C3" s="11"/>
      <c r="D3" s="212">
        <f>'Bestellung Commande'!C2</f>
        <v>0</v>
      </c>
      <c r="E3" s="212"/>
      <c r="F3" s="212"/>
      <c r="G3" s="256" t="s">
        <v>2</v>
      </c>
      <c r="H3" s="257"/>
      <c r="I3" s="257"/>
      <c r="J3" s="258"/>
      <c r="K3" s="259" t="s">
        <v>3</v>
      </c>
      <c r="L3" s="260"/>
      <c r="M3" s="260"/>
      <c r="N3" s="261"/>
    </row>
    <row r="4" spans="1:18" ht="15" x14ac:dyDescent="0.25">
      <c r="A4" s="10" t="str">
        <f>VLOOKUP(DATEN!I3,DATEN!$I$1:$J$39,IF($K$3="Deutsch", 1, 2),FALSE)</f>
        <v>Kontaktperson:</v>
      </c>
      <c r="B4" s="11"/>
      <c r="C4" s="11"/>
      <c r="D4" s="212">
        <f>'Bestellung Commande'!C3</f>
        <v>0</v>
      </c>
      <c r="E4" s="212"/>
      <c r="F4" s="212"/>
      <c r="G4" s="256" t="str">
        <f>VLOOKUP(DATEN!I9,DATEN!$I$1:$J$39,IF($K$3="Deutsch", 1, 2),FALSE)</f>
        <v>Bestelldatum:</v>
      </c>
      <c r="H4" s="257"/>
      <c r="I4" s="257"/>
      <c r="J4" s="258"/>
      <c r="K4" s="263">
        <f>'Bestellung Commande'!L3</f>
        <v>0</v>
      </c>
      <c r="L4" s="260"/>
      <c r="M4" s="260"/>
      <c r="N4" s="261"/>
    </row>
    <row r="5" spans="1:18" ht="15" x14ac:dyDescent="0.25">
      <c r="A5" s="165" t="str">
        <f>VLOOKUP(DATEN!I4,DATEN!$I$1:$J$39,IF($K$3="Deutsch", 1, 2),FALSE)</f>
        <v>Kommision:</v>
      </c>
      <c r="B5" s="167"/>
      <c r="C5" s="11"/>
      <c r="D5" s="212">
        <f>'Bestellung Commande'!C4</f>
        <v>0</v>
      </c>
      <c r="E5" s="212"/>
      <c r="F5" s="212"/>
      <c r="G5" s="256" t="str">
        <f>VLOOKUP(DATEN!I10,DATEN!$I$1:$J$39,IF($K$3="Deutsch", 1, 2),FALSE)</f>
        <v>Wunsch Liefertermin:</v>
      </c>
      <c r="H5" s="257"/>
      <c r="I5" s="257"/>
      <c r="J5" s="258"/>
      <c r="K5" s="263">
        <f>'Bestellung Commande'!L4</f>
        <v>0</v>
      </c>
      <c r="L5" s="260"/>
      <c r="M5" s="260"/>
      <c r="N5" s="261"/>
    </row>
    <row r="6" spans="1:18" ht="15" x14ac:dyDescent="0.25">
      <c r="A6" s="165" t="str">
        <f>VLOOKUP(DATEN!I5,DATEN!$I$1:$J$39,IF($K$3="Deutsch", 1, 2),FALSE)</f>
        <v>Kontakt Telefon:</v>
      </c>
      <c r="B6" s="167"/>
      <c r="C6" s="11"/>
      <c r="D6" s="212">
        <f>'Bestellung Commande'!C5</f>
        <v>0</v>
      </c>
      <c r="E6" s="212"/>
      <c r="F6" s="212"/>
      <c r="G6" s="163" t="str">
        <f>VLOOKUP(DATEN!I11,DATEN!$I$1:$J$39,IF($K$3="Deutsch", 1, 2),FALSE)</f>
        <v>Bemerkung:</v>
      </c>
      <c r="H6" s="164"/>
      <c r="I6" s="164"/>
      <c r="J6" s="164"/>
      <c r="K6" s="164"/>
      <c r="L6" s="164"/>
      <c r="M6" s="164"/>
      <c r="N6" s="164"/>
    </row>
    <row r="7" spans="1:18" ht="15" x14ac:dyDescent="0.25">
      <c r="A7" s="264" t="s">
        <v>4</v>
      </c>
      <c r="B7" s="264"/>
      <c r="C7" s="264"/>
      <c r="D7" s="264"/>
      <c r="E7" s="264"/>
      <c r="F7" s="264"/>
      <c r="G7" s="225" t="str">
        <f>VLOOKUP(DATEN!I11,DATEN!$I$1:$J$39,IF($K$3="Deutsch", 1, 2),FALSE)</f>
        <v>Bemerkung:</v>
      </c>
      <c r="H7" s="225"/>
      <c r="I7" s="225"/>
      <c r="J7" s="225"/>
      <c r="K7" s="225"/>
      <c r="L7" s="225"/>
      <c r="M7" s="225"/>
      <c r="N7" s="225"/>
    </row>
    <row r="8" spans="1:18" ht="15" x14ac:dyDescent="0.25">
      <c r="A8" s="165" t="str">
        <f>VLOOKUP(DATEN!I6,DATEN!$I$1:$J$39,IF($K$3="Deutsch", 1, 2),FALSE)</f>
        <v>Strasse:</v>
      </c>
      <c r="B8" s="167"/>
      <c r="C8" s="11"/>
      <c r="D8" s="212">
        <f>'Bestellung Commande'!C8</f>
        <v>0</v>
      </c>
      <c r="E8" s="212"/>
      <c r="F8" s="212"/>
      <c r="G8" s="225"/>
      <c r="H8" s="225"/>
      <c r="I8" s="225"/>
      <c r="J8" s="225"/>
      <c r="K8" s="225"/>
      <c r="L8" s="225"/>
      <c r="M8" s="225"/>
      <c r="N8" s="225"/>
    </row>
    <row r="9" spans="1:18" ht="15" x14ac:dyDescent="0.25">
      <c r="A9" s="165" t="str">
        <f>VLOOKUP(DATEN!I7,DATEN!$I$1:$J$39,IF($K$3="Deutsch", 1, 2),FALSE)</f>
        <v>PLZ Ort:</v>
      </c>
      <c r="B9" s="167"/>
      <c r="C9" s="11"/>
      <c r="D9" s="212">
        <f>'Bestellung Commande'!C9</f>
        <v>0</v>
      </c>
      <c r="E9" s="212"/>
      <c r="F9" s="212"/>
      <c r="G9" s="225"/>
      <c r="H9" s="225"/>
      <c r="I9" s="225"/>
      <c r="J9" s="225"/>
      <c r="K9" s="225"/>
      <c r="L9" s="225"/>
      <c r="M9" s="225"/>
      <c r="N9" s="225"/>
    </row>
    <row r="10" spans="1:18" ht="15" customHeight="1" x14ac:dyDescent="0.25">
      <c r="A10" s="165" t="str">
        <f>VLOOKUP(DATEN!I8,DATEN!$I$1:$J$39,IF($K$3="Deutsch", 1, 2),FALSE)</f>
        <v>Kontakt:</v>
      </c>
      <c r="B10" s="167"/>
      <c r="C10" s="11"/>
      <c r="D10" s="212">
        <f>'Bestellung Commande'!C10</f>
        <v>0</v>
      </c>
      <c r="E10" s="212"/>
      <c r="F10" s="212"/>
      <c r="G10" s="262" t="str">
        <f>IF(VLOOKUP($A$17,'Bestellung Commande'!$A$27:$O$65,10,FALSE)&lt;&gt;"","Sonderbau!!!","")</f>
        <v/>
      </c>
      <c r="H10" s="262"/>
      <c r="I10" s="262"/>
      <c r="J10" s="262"/>
      <c r="K10" s="262"/>
      <c r="L10" s="262"/>
      <c r="M10" s="262"/>
      <c r="N10" s="262"/>
    </row>
    <row r="11" spans="1:18" ht="15" customHeight="1" x14ac:dyDescent="0.25">
      <c r="A11" s="264" t="s">
        <v>5</v>
      </c>
      <c r="B11" s="264"/>
      <c r="C11" s="264"/>
      <c r="D11" s="264"/>
      <c r="E11" s="264"/>
      <c r="F11" s="264"/>
      <c r="G11" s="262"/>
      <c r="H11" s="262"/>
      <c r="I11" s="262"/>
      <c r="J11" s="262"/>
      <c r="K11" s="262"/>
      <c r="L11" s="262"/>
      <c r="M11" s="262"/>
      <c r="N11" s="262"/>
    </row>
    <row r="12" spans="1:18" ht="15" customHeight="1" x14ac:dyDescent="0.4">
      <c r="A12" s="165" t="str">
        <f>VLOOKUP(DATEN!I6,DATEN!$I$1:$J$39,IF($K$3="Deutsch", 1, 2),FALSE)</f>
        <v>Strasse:</v>
      </c>
      <c r="B12" s="167"/>
      <c r="C12" s="11"/>
      <c r="D12" s="212">
        <f>'Bestellung Commande'!C12</f>
        <v>0</v>
      </c>
      <c r="E12" s="212"/>
      <c r="F12" s="212"/>
      <c r="G12" s="146"/>
      <c r="H12" s="146"/>
      <c r="I12" s="146"/>
      <c r="J12" s="146"/>
      <c r="K12" s="146"/>
      <c r="L12" s="146"/>
      <c r="M12" s="146"/>
      <c r="N12" s="146"/>
    </row>
    <row r="13" spans="1:18" ht="15" customHeight="1" x14ac:dyDescent="0.4">
      <c r="A13" s="165" t="str">
        <f>VLOOKUP(DATEN!I7,DATEN!$I$1:$J$39,IF($K$3="Deutsch", 1, 2),FALSE)</f>
        <v>PLZ Ort:</v>
      </c>
      <c r="B13" s="167"/>
      <c r="C13" s="11"/>
      <c r="D13" s="212">
        <f>'Bestellung Commande'!C13</f>
        <v>0</v>
      </c>
      <c r="E13" s="212"/>
      <c r="F13" s="212"/>
      <c r="G13" s="146"/>
      <c r="H13" s="146"/>
      <c r="I13" s="146"/>
      <c r="J13" s="146"/>
      <c r="K13" s="146"/>
      <c r="L13" s="146"/>
      <c r="M13" s="146"/>
      <c r="N13" s="146"/>
    </row>
    <row r="14" spans="1:18" ht="15" customHeight="1" x14ac:dyDescent="0.4">
      <c r="A14" s="165" t="str">
        <f>VLOOKUP(DATEN!I8,DATEN!$I$1:$J$39,IF($K$3="Deutsch", 1, 2),FALSE)</f>
        <v>Kontakt:</v>
      </c>
      <c r="B14" s="167"/>
      <c r="C14" s="11"/>
      <c r="D14" s="212">
        <f>'Bestellung Commande'!C14</f>
        <v>0</v>
      </c>
      <c r="E14" s="212"/>
      <c r="F14" s="212"/>
      <c r="G14" s="146"/>
      <c r="H14" s="146"/>
      <c r="I14" s="146"/>
      <c r="J14" s="146"/>
      <c r="K14" s="146"/>
      <c r="L14" s="146"/>
      <c r="M14" s="146"/>
      <c r="N14" s="146"/>
    </row>
    <row r="15" spans="1:18" ht="15.75" thickBot="1" x14ac:dyDescent="0.3">
      <c r="A15" s="140" t="str">
        <f>'Bestellung Commande'!A67</f>
        <v>V9.5</v>
      </c>
      <c r="B15" s="14"/>
      <c r="C15" s="14"/>
      <c r="D15" s="15"/>
      <c r="E15" s="15"/>
      <c r="F15" s="15"/>
      <c r="G15" s="13"/>
      <c r="H15" s="13"/>
      <c r="I15" s="13"/>
      <c r="J15" s="13"/>
      <c r="K15" s="13"/>
      <c r="L15" s="13"/>
      <c r="M15" s="16">
        <f>'Bestellung Commande'!N24</f>
        <v>73</v>
      </c>
      <c r="N15" s="13"/>
      <c r="O15" s="20" t="s">
        <v>220</v>
      </c>
      <c r="P15" s="9"/>
      <c r="Q15" s="9"/>
      <c r="R15" s="9"/>
    </row>
    <row r="16" spans="1:18" s="19" customFormat="1" ht="28.5" customHeight="1" x14ac:dyDescent="0.2">
      <c r="A16" s="17" t="s">
        <v>216</v>
      </c>
      <c r="B16" s="176" t="str">
        <f>VLOOKUP(DATEN!I14,DATEN!$I$1:$J$39,IF($K$3="Deutsch", 1, 2),FALSE)</f>
        <v>Anz.
Flügel</v>
      </c>
      <c r="C16" s="176"/>
      <c r="D16" s="17" t="str">
        <f>VLOOKUP(DATEN!I15,DATEN!$I$1:$J$39,IF($K$3="Deutsch", 1, 2),FALSE)</f>
        <v>Stk Schw.</v>
      </c>
      <c r="E16" s="17" t="str">
        <f>VLOOKUP(DATEN!I16,DATEN!$I$1:$J$39,IF($K$3="Deutsch", 1, 2),FALSE)</f>
        <v>RA</v>
      </c>
      <c r="F16" s="17" t="str">
        <f>VLOOKUP(DATEN!I17,DATEN!$I$1:$J$39,IF($K$3="Deutsch", 1, 2),FALSE)</f>
        <v>RBL 
(min45)</v>
      </c>
      <c r="G16" s="17" t="str">
        <f>VLOOKUP(DATEN!I18,DATEN!$I$1:$J$39,IF($K$3="Deutsch", 1, 2),FALSE)</f>
        <v>RBR 
(min45)</v>
      </c>
      <c r="H16" s="17"/>
      <c r="I16" s="184" t="str">
        <f>VLOOKUP(DATEN!I19,DATEN!$I$1:$J$39,IF($K$3="Deutsch", 1, 2),FALSE)</f>
        <v>Verbreiterungen</v>
      </c>
      <c r="J16" s="185"/>
      <c r="K16" s="185"/>
      <c r="L16" s="185"/>
      <c r="M16" s="18" t="str">
        <f>VLOOKUP(DATEN!I20,DATEN!$I$1:$J$39,IF($K$3="Deutsch",1,2),FALSE)</f>
        <v>Total</v>
      </c>
      <c r="N16" s="17"/>
      <c r="O16" s="20" t="str">
        <f>E25</f>
        <v>Profil</v>
      </c>
      <c r="P16" s="20" t="str">
        <f>A26</f>
        <v>Links</v>
      </c>
      <c r="Q16" s="20" t="str">
        <f>A27</f>
        <v>Rechts</v>
      </c>
      <c r="R16" s="20" t="str">
        <f>A28</f>
        <v>Mittelteil</v>
      </c>
    </row>
    <row r="17" spans="1:24" ht="15" thickBot="1" x14ac:dyDescent="0.25">
      <c r="A17" s="41">
        <v>17</v>
      </c>
      <c r="B17" s="268">
        <f>VLOOKUP($A$17,'Bestellung Commande'!$A$27:$O$65,3,FALSE)</f>
        <v>0</v>
      </c>
      <c r="C17" s="268"/>
      <c r="D17" s="41">
        <f>VLOOKUP($A$17,'Bestellung Commande'!$A$27:$O$65,5,FALSE)</f>
        <v>0</v>
      </c>
      <c r="E17" s="41">
        <f>VLOOKUP($A$17,'Bestellung Commande'!$A$27:$O$65,6,FALSE)</f>
        <v>0</v>
      </c>
      <c r="F17" s="41">
        <f>VLOOKUP($A$17,'Bestellung Commande'!$A$27:$O$65,7,FALSE)</f>
        <v>0</v>
      </c>
      <c r="G17" s="41">
        <f>VLOOKUP($A$17,'Bestellung Commande'!$A$27:$O$65,8,FALSE)</f>
        <v>0</v>
      </c>
      <c r="H17" s="41">
        <f>VLOOKUP($A$17,'Bestellung Commande'!$A$27:$O$65,9,FALSE)</f>
        <v>0</v>
      </c>
      <c r="I17" s="22">
        <f>VLOOKUP($A$17,'Bestellung Commande'!$A$27:$O$65,10,FALSE)</f>
        <v>0</v>
      </c>
      <c r="J17" s="23">
        <f>VLOOKUP($A$17,'Bestellung Commande'!$A$27:$O$65,11,FALSE)</f>
        <v>0</v>
      </c>
      <c r="K17" s="23">
        <f>VLOOKUP($A$17,'Bestellung Commande'!$A$27:$O$65,12,FALSE)</f>
        <v>0</v>
      </c>
      <c r="L17" s="23">
        <f>VLOOKUP($A$17,'Bestellung Commande'!$A$27:$O$65,13,FALSE)</f>
        <v>0</v>
      </c>
      <c r="M17" s="125">
        <f>VLOOKUP($A$17,'Bestellung Commande'!$A$27:$O$65,14,FALSE)</f>
        <v>0</v>
      </c>
      <c r="N17" s="24"/>
      <c r="O17" s="9" t="str">
        <f>F25</f>
        <v>C298927</v>
      </c>
      <c r="P17" s="29">
        <f>F26</f>
        <v>20</v>
      </c>
      <c r="Q17" s="29">
        <f>F27</f>
        <v>20</v>
      </c>
      <c r="R17" s="29">
        <f>F28</f>
        <v>-42</v>
      </c>
    </row>
    <row r="18" spans="1:24" x14ac:dyDescent="0.2">
      <c r="B18" s="41" cm="1">
        <f t="array" ref="B18">INDEX('Bestellung Commande'!$C$27:$C$66, MATCH($A$17, 'Bestellung Commande'!$A$27:$A$66, 0) + 1)</f>
        <v>0</v>
      </c>
      <c r="C18" s="41" cm="1">
        <f t="array" ref="C18">INDEX('Bestellung Commande'!$D$27:$D$66, MATCH($A$17, 'Bestellung Commande'!$A$27:$A$66, 0) + 1)</f>
        <v>0</v>
      </c>
    </row>
    <row r="20" spans="1:24" ht="15" x14ac:dyDescent="0.25">
      <c r="A20" s="267" t="s">
        <v>10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</row>
    <row r="21" spans="1:24" ht="15" x14ac:dyDescent="0.25">
      <c r="E21" s="25" t="s">
        <v>11</v>
      </c>
      <c r="F21" s="9" t="s">
        <v>12</v>
      </c>
      <c r="G21"/>
      <c r="H21"/>
      <c r="I21"/>
    </row>
    <row r="22" spans="1:24" x14ac:dyDescent="0.2">
      <c r="E22" t="s">
        <v>13</v>
      </c>
      <c r="F22" s="26">
        <f>E17</f>
        <v>0</v>
      </c>
      <c r="G22"/>
      <c r="H22"/>
      <c r="I22"/>
    </row>
    <row r="23" spans="1:24" x14ac:dyDescent="0.2">
      <c r="F23" s="9">
        <f>B17</f>
        <v>0</v>
      </c>
      <c r="G23"/>
      <c r="H23"/>
      <c r="I23"/>
    </row>
    <row r="24" spans="1:24" ht="15" x14ac:dyDescent="0.25">
      <c r="A24" s="267" t="s">
        <v>14</v>
      </c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</row>
    <row r="25" spans="1:24" ht="15" x14ac:dyDescent="0.25">
      <c r="E25" s="25" t="s">
        <v>11</v>
      </c>
      <c r="F25" s="9" t="s">
        <v>15</v>
      </c>
      <c r="G25"/>
      <c r="H25"/>
      <c r="I25"/>
    </row>
    <row r="26" spans="1:24" x14ac:dyDescent="0.2">
      <c r="A26" t="s">
        <v>16</v>
      </c>
      <c r="E26" t="s">
        <v>13</v>
      </c>
      <c r="F26" s="26">
        <f>F17+20</f>
        <v>20</v>
      </c>
      <c r="G26"/>
      <c r="H26"/>
      <c r="I26"/>
      <c r="W26" s="121" t="s">
        <v>208</v>
      </c>
      <c r="X26" s="122">
        <f>F37-F36</f>
        <v>-100</v>
      </c>
    </row>
    <row r="27" spans="1:24" x14ac:dyDescent="0.2">
      <c r="A27" t="s">
        <v>17</v>
      </c>
      <c r="E27" t="s">
        <v>13</v>
      </c>
      <c r="F27" s="26">
        <f>G17+20</f>
        <v>20</v>
      </c>
      <c r="G27"/>
      <c r="H27"/>
      <c r="I27"/>
      <c r="W27" t="s">
        <v>209</v>
      </c>
      <c r="X27">
        <f>[1]DATEN!D14</f>
        <v>300</v>
      </c>
    </row>
    <row r="28" spans="1:24" x14ac:dyDescent="0.2">
      <c r="A28" t="s">
        <v>18</v>
      </c>
      <c r="E28" t="s">
        <v>13</v>
      </c>
      <c r="F28" s="26">
        <f>(E17-(F26+F27))-2</f>
        <v>-42</v>
      </c>
      <c r="G28"/>
      <c r="H28"/>
      <c r="I28"/>
      <c r="P28" t="s">
        <v>293</v>
      </c>
      <c r="T28" t="s">
        <v>294</v>
      </c>
      <c r="W28" t="s">
        <v>210</v>
      </c>
      <c r="X28">
        <f>ROUNDUP(X26/X27,0)</f>
        <v>-1</v>
      </c>
    </row>
    <row r="29" spans="1:24" ht="15" x14ac:dyDescent="0.25">
      <c r="A29" s="267" t="s">
        <v>19</v>
      </c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7" t="str">
        <f t="shared" ref="O29:O39" si="0">IF(AND($F$32&gt;=Q29,$F$32&lt;R29),P29,"")</f>
        <v/>
      </c>
      <c r="P29" s="28" t="str">
        <f>" "</f>
        <v xml:space="preserve"> </v>
      </c>
      <c r="Q29" s="28">
        <v>-1000000</v>
      </c>
      <c r="R29" s="28">
        <v>0</v>
      </c>
      <c r="S29" s="27" t="str">
        <f t="shared" ref="S29:S39" si="1">IF(AND($G$32&gt;=U29,$G$32&lt;V29),T29,"")</f>
        <v/>
      </c>
      <c r="T29" s="28" t="str">
        <f t="shared" ref="T29:T30" si="2">P29</f>
        <v xml:space="preserve"> </v>
      </c>
      <c r="U29" s="28">
        <f t="shared" ref="U29:U30" si="3">Q29</f>
        <v>-1000000</v>
      </c>
      <c r="V29" s="28">
        <f t="shared" ref="V29:V30" si="4">R29</f>
        <v>0</v>
      </c>
      <c r="W29" t="s">
        <v>211</v>
      </c>
      <c r="X29">
        <f>X26/X28</f>
        <v>100</v>
      </c>
    </row>
    <row r="30" spans="1:24" ht="15" x14ac:dyDescent="0.25">
      <c r="F30" s="25" t="s">
        <v>293</v>
      </c>
      <c r="G30" s="25" t="s">
        <v>294</v>
      </c>
      <c r="H30"/>
      <c r="I30"/>
      <c r="K30"/>
      <c r="N30"/>
      <c r="O30" s="27" t="str">
        <f t="shared" si="0"/>
        <v/>
      </c>
      <c r="P30" s="28"/>
      <c r="Q30" s="28">
        <v>0.1</v>
      </c>
      <c r="R30" s="28">
        <v>247.9</v>
      </c>
      <c r="S30" s="27" t="str">
        <f t="shared" si="1"/>
        <v/>
      </c>
      <c r="T30" s="28">
        <f t="shared" si="2"/>
        <v>0</v>
      </c>
      <c r="U30" s="28">
        <f t="shared" si="3"/>
        <v>0.1</v>
      </c>
      <c r="V30" s="28">
        <f t="shared" si="4"/>
        <v>247.9</v>
      </c>
    </row>
    <row r="31" spans="1:24" x14ac:dyDescent="0.2">
      <c r="F31" s="9" t="str">
        <f>O29&amp;O31&amp;O32&amp;O33&amp;O34&amp;O35&amp;O36&amp;O37&amp;O38&amp;O39</f>
        <v/>
      </c>
      <c r="G31" s="9" t="str">
        <f>S29&amp;S31&amp;S32&amp;S33&amp;S34&amp;S35&amp;S36&amp;S37&amp;S38&amp;S39</f>
        <v/>
      </c>
      <c r="I31"/>
      <c r="O31" s="27" t="str">
        <f t="shared" si="0"/>
        <v/>
      </c>
      <c r="P31" s="28" t="str">
        <f>DATEN!M7</f>
        <v>C555366</v>
      </c>
      <c r="Q31" s="28">
        <f>DATEN!N7</f>
        <v>275</v>
      </c>
      <c r="R31" s="28">
        <f>DATEN!O7</f>
        <v>400</v>
      </c>
      <c r="S31" s="27" t="str">
        <f t="shared" si="1"/>
        <v/>
      </c>
      <c r="T31" s="28" t="str">
        <f>P31</f>
        <v>C555366</v>
      </c>
      <c r="U31" s="28">
        <f t="shared" ref="U31:V39" si="5">Q31</f>
        <v>275</v>
      </c>
      <c r="V31" s="28">
        <f t="shared" si="5"/>
        <v>400</v>
      </c>
      <c r="W31">
        <v>1</v>
      </c>
      <c r="X31" s="29">
        <f>F36</f>
        <v>50</v>
      </c>
    </row>
    <row r="32" spans="1:24" x14ac:dyDescent="0.2">
      <c r="A32" t="s">
        <v>13</v>
      </c>
      <c r="F32" s="26" t="b">
        <f>IF(AND(B17=1,B18=0),H17,IF(AND(B17=1,B18&gt;0),B18,IF(AND(B17=2,B18=0),(H17-20)/2,IF(AND(B17=2,B18&gt;0),B18))))</f>
        <v>0</v>
      </c>
      <c r="G32" s="26">
        <f>IF(B17=1,0,IF(AND(B17=2,C18=0),0,C18))</f>
        <v>0</v>
      </c>
      <c r="I32"/>
      <c r="O32" s="27" t="str">
        <f t="shared" si="0"/>
        <v/>
      </c>
      <c r="P32" s="28" t="str">
        <f>DATEN!M8</f>
        <v>C555367</v>
      </c>
      <c r="Q32" s="28">
        <f>DATEN!N8</f>
        <v>400</v>
      </c>
      <c r="R32" s="28">
        <f>DATEN!O8</f>
        <v>550</v>
      </c>
      <c r="S32" s="27" t="str">
        <f t="shared" si="1"/>
        <v/>
      </c>
      <c r="T32" s="28" t="str">
        <f t="shared" ref="T32:T39" si="6">P32</f>
        <v>C555367</v>
      </c>
      <c r="U32" s="28">
        <f t="shared" si="5"/>
        <v>400</v>
      </c>
      <c r="V32" s="28">
        <f t="shared" si="5"/>
        <v>550</v>
      </c>
      <c r="W32">
        <v>2</v>
      </c>
      <c r="X32" s="29">
        <f>ROUND(IF(W32-1&gt;$X$28,0,X31+$X$29),0)</f>
        <v>0</v>
      </c>
    </row>
    <row r="33" spans="1:24" x14ac:dyDescent="0.2">
      <c r="A33" t="s">
        <v>23</v>
      </c>
      <c r="F33" s="30">
        <f>IF(AND(B17=2,B18=0),B17,1)*D17</f>
        <v>0</v>
      </c>
      <c r="G33" s="30">
        <f>IF(G32&gt;0,1,0)*D17</f>
        <v>0</v>
      </c>
      <c r="I33"/>
      <c r="O33" s="27" t="str">
        <f t="shared" si="0"/>
        <v/>
      </c>
      <c r="P33" s="28" t="str">
        <f>DATEN!M9</f>
        <v>C555368</v>
      </c>
      <c r="Q33" s="28">
        <f>DATEN!N9</f>
        <v>550</v>
      </c>
      <c r="R33" s="28">
        <f>DATEN!O9</f>
        <v>700</v>
      </c>
      <c r="S33" s="27" t="str">
        <f t="shared" si="1"/>
        <v/>
      </c>
      <c r="T33" s="28" t="str">
        <f t="shared" si="6"/>
        <v>C555368</v>
      </c>
      <c r="U33" s="28">
        <f t="shared" si="5"/>
        <v>550</v>
      </c>
      <c r="V33" s="28">
        <f t="shared" si="5"/>
        <v>700</v>
      </c>
      <c r="W33">
        <v>3</v>
      </c>
      <c r="X33" s="29">
        <f t="shared" ref="X33:X40" si="7">ROUND(IF(W33-1&gt;$X$28,0,X32+$X$29),0)</f>
        <v>0</v>
      </c>
    </row>
    <row r="34" spans="1:24" ht="15" x14ac:dyDescent="0.25">
      <c r="A34" s="267" t="s">
        <v>25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7" t="str">
        <f>IF(AND($F$32&gt;=Q34,$F$32&lt;R34),P34,"")</f>
        <v/>
      </c>
      <c r="P34" s="28" t="str">
        <f>DATEN!M10</f>
        <v>C555369</v>
      </c>
      <c r="Q34" s="28">
        <f>DATEN!N10</f>
        <v>700</v>
      </c>
      <c r="R34" s="28">
        <f>DATEN!O10</f>
        <v>850</v>
      </c>
      <c r="S34" s="27" t="str">
        <f t="shared" si="1"/>
        <v/>
      </c>
      <c r="T34" s="28" t="str">
        <f t="shared" si="6"/>
        <v>C555369</v>
      </c>
      <c r="U34" s="28">
        <f t="shared" si="5"/>
        <v>700</v>
      </c>
      <c r="V34" s="28">
        <f t="shared" si="5"/>
        <v>850</v>
      </c>
      <c r="W34">
        <v>4</v>
      </c>
      <c r="X34" s="29">
        <f t="shared" si="7"/>
        <v>0</v>
      </c>
    </row>
    <row r="35" spans="1:24" ht="15" x14ac:dyDescent="0.25">
      <c r="A35" s="31" t="s">
        <v>27</v>
      </c>
      <c r="F35" s="9" t="s">
        <v>28</v>
      </c>
      <c r="G35" s="32" t="s">
        <v>29</v>
      </c>
      <c r="H35" s="32"/>
      <c r="I35"/>
      <c r="O35" s="27" t="str">
        <f t="shared" si="0"/>
        <v/>
      </c>
      <c r="P35" s="28" t="str">
        <f>DATEN!M11</f>
        <v>C555370</v>
      </c>
      <c r="Q35" s="28">
        <f>DATEN!N11</f>
        <v>850</v>
      </c>
      <c r="R35" s="28">
        <f>DATEN!O11</f>
        <v>1000</v>
      </c>
      <c r="S35" s="27" t="str">
        <f>IF(AND($G$32&gt;=U35,$G$32&lt;V35),T35,"")</f>
        <v/>
      </c>
      <c r="T35" s="28" t="str">
        <f t="shared" si="6"/>
        <v>C555370</v>
      </c>
      <c r="U35" s="28">
        <f t="shared" si="5"/>
        <v>850</v>
      </c>
      <c r="V35" s="28">
        <f t="shared" si="5"/>
        <v>1000</v>
      </c>
      <c r="W35">
        <v>5</v>
      </c>
      <c r="X35" s="29">
        <f t="shared" si="7"/>
        <v>0</v>
      </c>
    </row>
    <row r="36" spans="1:24" x14ac:dyDescent="0.2">
      <c r="A36" t="s">
        <v>31</v>
      </c>
      <c r="F36" s="26">
        <f>F17+50</f>
        <v>50</v>
      </c>
      <c r="G36"/>
      <c r="H36" t="s">
        <v>206</v>
      </c>
      <c r="I36"/>
      <c r="O36" s="27" t="str">
        <f t="shared" si="0"/>
        <v/>
      </c>
      <c r="P36" s="28" t="str">
        <f>DATEN!M12</f>
        <v>C555371</v>
      </c>
      <c r="Q36" s="28">
        <f>DATEN!N12</f>
        <v>1000</v>
      </c>
      <c r="R36" s="28">
        <f>DATEN!O12</f>
        <v>1150</v>
      </c>
      <c r="S36" s="27" t="str">
        <f t="shared" si="1"/>
        <v/>
      </c>
      <c r="T36" s="28" t="str">
        <f t="shared" si="6"/>
        <v>C555371</v>
      </c>
      <c r="U36" s="28">
        <f t="shared" si="5"/>
        <v>1000</v>
      </c>
      <c r="V36" s="28">
        <f t="shared" si="5"/>
        <v>1150</v>
      </c>
      <c r="W36">
        <v>6</v>
      </c>
      <c r="X36" s="29">
        <f t="shared" si="7"/>
        <v>0</v>
      </c>
    </row>
    <row r="37" spans="1:24" x14ac:dyDescent="0.2">
      <c r="A37" t="s">
        <v>33</v>
      </c>
      <c r="F37" s="26">
        <f>F17+H17-DATEN!$D$13</f>
        <v>-50</v>
      </c>
      <c r="H37" t="s">
        <v>36</v>
      </c>
      <c r="I37"/>
      <c r="J37" s="9">
        <f>X28+1</f>
        <v>0</v>
      </c>
      <c r="O37" s="27" t="str">
        <f t="shared" si="0"/>
        <v/>
      </c>
      <c r="P37" s="28" t="str">
        <f>DATEN!M13</f>
        <v>C555372</v>
      </c>
      <c r="Q37" s="28">
        <f>DATEN!N13</f>
        <v>1150</v>
      </c>
      <c r="R37" s="28">
        <f>DATEN!O13</f>
        <v>1300</v>
      </c>
      <c r="S37" s="27" t="str">
        <f t="shared" si="1"/>
        <v/>
      </c>
      <c r="T37" s="28" t="str">
        <f t="shared" si="6"/>
        <v>C555372</v>
      </c>
      <c r="U37" s="28">
        <f t="shared" si="5"/>
        <v>1150</v>
      </c>
      <c r="V37" s="28">
        <f t="shared" si="5"/>
        <v>1300</v>
      </c>
      <c r="W37">
        <v>7</v>
      </c>
      <c r="X37" s="29">
        <f t="shared" si="7"/>
        <v>0</v>
      </c>
    </row>
    <row r="38" spans="1:24" x14ac:dyDescent="0.2">
      <c r="A38" s="33" t="s">
        <v>35</v>
      </c>
      <c r="F38" s="123" t="str">
        <f>X31&amp;IF(X32="",""," / ")&amp;X32  &amp; IF(X33="",""," / ")&amp;X33&amp; IF(X34="",""," / ")&amp;X34&amp; IF(X35="",""," / ")&amp;X35&amp; IF(X36="",""," / ")&amp;X36&amp; IF(X37="",""," / ")&amp;X37&amp; IF(X38="",""," / ")&amp;X38&amp; IF(X39="",""," / ")&amp;X39&amp; IF(X40="",""," / ")&amp;X40</f>
        <v>50 / 0 / 0 / 0 / 0 / 0 / 0 / 0 / 0 / 0</v>
      </c>
      <c r="O38" s="27" t="str">
        <f t="shared" si="0"/>
        <v/>
      </c>
      <c r="P38" s="28" t="str">
        <f>DATEN!M14</f>
        <v>C555373</v>
      </c>
      <c r="Q38" s="28">
        <f>DATEN!N14</f>
        <v>1300</v>
      </c>
      <c r="R38" s="28">
        <f>DATEN!O14</f>
        <v>1450</v>
      </c>
      <c r="S38" s="27" t="str">
        <f t="shared" si="1"/>
        <v/>
      </c>
      <c r="T38" s="28" t="str">
        <f t="shared" si="6"/>
        <v>C555373</v>
      </c>
      <c r="U38" s="28">
        <f t="shared" si="5"/>
        <v>1300</v>
      </c>
      <c r="V38" s="28">
        <f t="shared" si="5"/>
        <v>1450</v>
      </c>
      <c r="W38">
        <v>8</v>
      </c>
      <c r="X38" s="29">
        <f t="shared" si="7"/>
        <v>0</v>
      </c>
    </row>
    <row r="39" spans="1:24" x14ac:dyDescent="0.2">
      <c r="F39" s="9"/>
      <c r="G39"/>
      <c r="H39"/>
      <c r="I39"/>
      <c r="O39" s="27" t="str">
        <f t="shared" si="0"/>
        <v/>
      </c>
      <c r="P39" s="28" t="str">
        <f>DATEN!M15</f>
        <v>Zu Lang</v>
      </c>
      <c r="Q39" s="28">
        <f>DATEN!N15</f>
        <v>1450.1</v>
      </c>
      <c r="R39" s="28">
        <f>DATEN!O15</f>
        <v>1000000</v>
      </c>
      <c r="S39" s="27" t="str">
        <f t="shared" si="1"/>
        <v/>
      </c>
      <c r="T39" s="28" t="str">
        <f t="shared" si="6"/>
        <v>Zu Lang</v>
      </c>
      <c r="U39" s="28">
        <f t="shared" si="5"/>
        <v>1450.1</v>
      </c>
      <c r="V39" s="28">
        <f t="shared" si="5"/>
        <v>1000000</v>
      </c>
      <c r="W39">
        <v>9</v>
      </c>
      <c r="X39" s="29">
        <f t="shared" si="7"/>
        <v>0</v>
      </c>
    </row>
    <row r="40" spans="1:24" ht="15" x14ac:dyDescent="0.25">
      <c r="A40" s="267" t="s">
        <v>39</v>
      </c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W40">
        <v>10</v>
      </c>
      <c r="X40" s="29">
        <f t="shared" si="7"/>
        <v>0</v>
      </c>
    </row>
    <row r="41" spans="1:24" x14ac:dyDescent="0.2">
      <c r="A41" t="s">
        <v>41</v>
      </c>
      <c r="F41" s="26">
        <f>G17-15</f>
        <v>-15</v>
      </c>
      <c r="G41"/>
      <c r="H41"/>
      <c r="I41"/>
    </row>
    <row r="42" spans="1:24" x14ac:dyDescent="0.2">
      <c r="A42" t="s">
        <v>42</v>
      </c>
      <c r="F42" s="26">
        <f>E17-G17+15</f>
        <v>15</v>
      </c>
      <c r="G42"/>
      <c r="H42"/>
      <c r="I42"/>
    </row>
    <row r="43" spans="1:24" x14ac:dyDescent="0.2">
      <c r="A43" t="s">
        <v>43</v>
      </c>
      <c r="F43" s="26">
        <f>G17-35</f>
        <v>-35</v>
      </c>
      <c r="G43"/>
      <c r="H43"/>
      <c r="I43"/>
    </row>
    <row r="44" spans="1:24" x14ac:dyDescent="0.2">
      <c r="A44" t="s">
        <v>44</v>
      </c>
      <c r="F44" s="26">
        <f>E17-G17+35</f>
        <v>35</v>
      </c>
      <c r="G44"/>
      <c r="H44"/>
      <c r="I44"/>
    </row>
    <row r="45" spans="1:24" x14ac:dyDescent="0.2">
      <c r="A45" t="s">
        <v>45</v>
      </c>
      <c r="F45" s="26">
        <f>F17-23</f>
        <v>-23</v>
      </c>
      <c r="G45"/>
      <c r="H45"/>
      <c r="I45"/>
    </row>
    <row r="46" spans="1:24" x14ac:dyDescent="0.2">
      <c r="A46" t="s">
        <v>46</v>
      </c>
      <c r="F46" s="26">
        <f>E17-G17+23</f>
        <v>23</v>
      </c>
      <c r="G46"/>
      <c r="H46"/>
      <c r="I46"/>
    </row>
    <row r="47" spans="1:24" x14ac:dyDescent="0.2">
      <c r="F47" s="9"/>
      <c r="G47"/>
      <c r="H47"/>
      <c r="I47"/>
      <c r="P47" s="9"/>
    </row>
    <row r="48" spans="1:24" ht="15" x14ac:dyDescent="0.25">
      <c r="A48" s="34" t="s">
        <v>47</v>
      </c>
      <c r="B48" s="35"/>
      <c r="C48" s="35"/>
      <c r="D48" s="35"/>
      <c r="E48" s="35"/>
      <c r="F48" s="35" t="s">
        <v>48</v>
      </c>
      <c r="G48" s="35"/>
      <c r="H48" s="35"/>
      <c r="I48" s="35"/>
      <c r="J48" s="35"/>
      <c r="K48" s="35"/>
      <c r="L48" s="35"/>
    </row>
    <row r="49" spans="1:14" x14ac:dyDescent="0.2">
      <c r="A49" t="s">
        <v>49</v>
      </c>
      <c r="F49" s="26">
        <v>25</v>
      </c>
      <c r="G49"/>
      <c r="H49"/>
      <c r="I49"/>
    </row>
    <row r="50" spans="1:14" x14ac:dyDescent="0.2">
      <c r="A50" t="s">
        <v>33</v>
      </c>
      <c r="F50" s="26">
        <f>F28-25</f>
        <v>-67</v>
      </c>
      <c r="G50"/>
      <c r="H50"/>
      <c r="I50"/>
    </row>
    <row r="51" spans="1:14" x14ac:dyDescent="0.2">
      <c r="A51" s="33" t="s">
        <v>35</v>
      </c>
      <c r="F51" s="36" t="s">
        <v>50</v>
      </c>
      <c r="G51"/>
      <c r="H51"/>
      <c r="I51" t="s">
        <v>36</v>
      </c>
    </row>
    <row r="52" spans="1:14" x14ac:dyDescent="0.2">
      <c r="F52" s="129" t="str">
        <f>IF(B17=2,"Achtung!! 2 Flüglig!! Mittleres Loch auslassen","")</f>
        <v/>
      </c>
      <c r="G52"/>
      <c r="H52"/>
      <c r="I52"/>
    </row>
    <row r="53" spans="1:14" ht="15" x14ac:dyDescent="0.25">
      <c r="A53" s="267" t="s">
        <v>51</v>
      </c>
      <c r="B53" s="267"/>
      <c r="C53" s="267"/>
      <c r="D53" s="267"/>
      <c r="E53" s="267"/>
      <c r="F53" s="267"/>
      <c r="G53" s="267"/>
      <c r="H53" s="267"/>
      <c r="I53" s="267"/>
      <c r="J53" s="267"/>
      <c r="K53" s="267"/>
      <c r="L53" s="267"/>
    </row>
    <row r="54" spans="1:14" x14ac:dyDescent="0.2">
      <c r="A54" s="35" t="s">
        <v>52</v>
      </c>
      <c r="B54" s="37" t="s">
        <v>53</v>
      </c>
      <c r="C54" s="37"/>
      <c r="D54" s="206" t="s">
        <v>54</v>
      </c>
      <c r="E54" s="206"/>
      <c r="F54" s="35" t="s">
        <v>55</v>
      </c>
      <c r="G54" s="35"/>
      <c r="H54" s="35"/>
      <c r="I54" s="35"/>
      <c r="J54" s="35"/>
      <c r="K54" s="266" t="s">
        <v>13</v>
      </c>
      <c r="L54" s="266"/>
    </row>
    <row r="55" spans="1:14" x14ac:dyDescent="0.2">
      <c r="A55" s="12">
        <v>1</v>
      </c>
      <c r="B55" s="9">
        <f>VLOOKUP(A17,'Bestellung Commande'!A27:O65,11,FALSE)</f>
        <v>0</v>
      </c>
      <c r="C55" s="9"/>
      <c r="D55" s="252">
        <f>IF(ISERROR(VLOOKUP($B55,DATEN!$A$3:$D$10,2,FALSE)),"",VLOOKUP($B55,DATEN!$A$3:$D$10,2,FALSE))</f>
        <v>0</v>
      </c>
      <c r="E55" s="252"/>
      <c r="F55" s="12">
        <f>IF(ISERROR(VLOOKUP($B55,DATEN!$A$3:$D$10,3,FALSE)),"",VLOOKUP($B55,DATEN!$A$3:$D$10,3,FALSE))</f>
        <v>0</v>
      </c>
      <c r="G55"/>
      <c r="H55"/>
      <c r="K55" s="265">
        <f>$F$22</f>
        <v>0</v>
      </c>
      <c r="L55" s="265"/>
    </row>
    <row r="56" spans="1:14" x14ac:dyDescent="0.2">
      <c r="A56" s="12">
        <v>2</v>
      </c>
      <c r="B56" s="9">
        <f>VLOOKUP(A17,'Bestellung Commande'!A27:O65,12,FALSE)</f>
        <v>0</v>
      </c>
      <c r="C56" s="9"/>
      <c r="D56" s="252">
        <f>IF(ISERROR(VLOOKUP($B56,DATEN!$A$3:$D$10,2,FALSE)),"",VLOOKUP($B56,DATEN!$A$3:$D$10,2,FALSE))</f>
        <v>0</v>
      </c>
      <c r="E56" s="252"/>
      <c r="F56" s="9">
        <f>IF(ISERROR(VLOOKUP($B56,DATEN!$A$3:$D$10,3,FALSE)),"",VLOOKUP($B56,DATEN!$A$3:$D$10,3,FALSE))</f>
        <v>0</v>
      </c>
      <c r="G56"/>
      <c r="H56"/>
      <c r="K56" s="265">
        <f t="shared" ref="K56:K58" si="8">$F$22</f>
        <v>0</v>
      </c>
      <c r="L56" s="265"/>
    </row>
    <row r="57" spans="1:14" x14ac:dyDescent="0.2">
      <c r="A57" s="12">
        <v>3</v>
      </c>
      <c r="B57" s="9">
        <f>VLOOKUP(A17,'Bestellung Commande'!A27:O65,13,FALSE)</f>
        <v>0</v>
      </c>
      <c r="C57" s="9"/>
      <c r="D57" s="252">
        <f>IF(ISERROR(VLOOKUP($B57,DATEN!$A$3:$D$10,2,FALSE)),"",VLOOKUP($B57,DATEN!$A$3:$D$10,2,FALSE))</f>
        <v>0</v>
      </c>
      <c r="E57" s="252"/>
      <c r="F57" s="9">
        <f>IF(ISERROR(VLOOKUP($B57,DATEN!$A$3:$D$10,3,FALSE)),"",VLOOKUP($B57,DATEN!$A$3:$D$10,3,FALSE))</f>
        <v>0</v>
      </c>
      <c r="K57" s="265">
        <f t="shared" si="8"/>
        <v>0</v>
      </c>
      <c r="L57" s="265"/>
    </row>
    <row r="58" spans="1:14" x14ac:dyDescent="0.2">
      <c r="A58" s="12">
        <v>4</v>
      </c>
      <c r="B58" s="9">
        <f>VLOOKUP(A17,'Bestellung Commande'!A27:O65,14,FALSE)</f>
        <v>0</v>
      </c>
      <c r="C58" s="9"/>
      <c r="D58" s="252">
        <f>IF(ISERROR(VLOOKUP($B58,DATEN!$A$3:$D$10,2,FALSE)),"",VLOOKUP($B58,DATEN!$A$3:$D$10,2,FALSE))</f>
        <v>0</v>
      </c>
      <c r="E58" s="252"/>
      <c r="F58" s="9">
        <f>IF(ISERROR(VLOOKUP($B58,DATEN!$A$3:$D$10,3,FALSE)),"",VLOOKUP($B58,DATEN!$A$3:$D$10,3,FALSE))</f>
        <v>0</v>
      </c>
      <c r="K58" s="265">
        <f t="shared" si="8"/>
        <v>0</v>
      </c>
      <c r="L58" s="265"/>
      <c r="N58" s="46">
        <f>'Bestellung Commande'!B44</f>
        <v>0</v>
      </c>
    </row>
  </sheetData>
  <sheetProtection algorithmName="SHA-512" hashValue="BaoEgbIDwYKFqSi5mV6FB2LpzV1w30d6iDROfGk06GnJVlyxpnlo/X2wWlJvydjUQGl4ek78llxDeY/jpfC3LA==" saltValue="Bho2hZn0ok1w3C0eLahLcw==" spinCount="100000" sheet="1" objects="1" scenarios="1"/>
  <mergeCells count="52">
    <mergeCell ref="D57:E57"/>
    <mergeCell ref="K57:L57"/>
    <mergeCell ref="D58:E58"/>
    <mergeCell ref="K58:L58"/>
    <mergeCell ref="A53:L53"/>
    <mergeCell ref="D54:E54"/>
    <mergeCell ref="K54:L54"/>
    <mergeCell ref="D55:E55"/>
    <mergeCell ref="K55:L55"/>
    <mergeCell ref="D56:E56"/>
    <mergeCell ref="K56:L56"/>
    <mergeCell ref="A40:L40"/>
    <mergeCell ref="A13:B13"/>
    <mergeCell ref="D13:F13"/>
    <mergeCell ref="A14:B14"/>
    <mergeCell ref="D14:F14"/>
    <mergeCell ref="B16:C16"/>
    <mergeCell ref="I16:L16"/>
    <mergeCell ref="B17:C17"/>
    <mergeCell ref="A20:N20"/>
    <mergeCell ref="A24:N24"/>
    <mergeCell ref="A29:N29"/>
    <mergeCell ref="A34:N34"/>
    <mergeCell ref="A10:B10"/>
    <mergeCell ref="D10:F10"/>
    <mergeCell ref="G10:N11"/>
    <mergeCell ref="A11:F11"/>
    <mergeCell ref="A12:B12"/>
    <mergeCell ref="D12:F12"/>
    <mergeCell ref="A6:B6"/>
    <mergeCell ref="D6:F6"/>
    <mergeCell ref="G6:N6"/>
    <mergeCell ref="A7:F7"/>
    <mergeCell ref="G7:N9"/>
    <mergeCell ref="A8:B8"/>
    <mergeCell ref="D8:F8"/>
    <mergeCell ref="A9:B9"/>
    <mergeCell ref="D9:F9"/>
    <mergeCell ref="D4:F4"/>
    <mergeCell ref="G4:J4"/>
    <mergeCell ref="K4:N4"/>
    <mergeCell ref="A5:B5"/>
    <mergeCell ref="D5:F5"/>
    <mergeCell ref="G5:J5"/>
    <mergeCell ref="K5:N5"/>
    <mergeCell ref="A1:N1"/>
    <mergeCell ref="A2:F2"/>
    <mergeCell ref="G2:N2"/>
    <mergeCell ref="A3:B3"/>
    <mergeCell ref="D3:F3"/>
    <mergeCell ref="G3:J3"/>
    <mergeCell ref="K3:N3"/>
  </mergeCells>
  <printOptions horizontalCentered="1"/>
  <pageMargins left="0.27" right="0.31" top="0.74803149606299213" bottom="0.74803149606299213" header="0.31496062992125984" footer="0.31496062992125984"/>
  <pageSetup paperSize="9" scale="87" orientation="portrait" r:id="rId1"/>
  <headerFooter>
    <oddHeader>&amp;R&amp;G</oddHeader>
    <oddFooter>&amp;LDuckdatum: &amp;D
&amp;F&amp;R&amp;P/&amp;N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606B9C4D-999F-4AF0-9B56-83BC0B6FA91C}">
          <x14:formula1>
            <xm:f>DATEN!$I$1:$J$1</xm:f>
          </x14:formula1>
          <xm:sqref>K3:N3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231C9-2E8D-4B65-8502-FFE4D9F3EE61}">
  <sheetPr codeName="Tabelle21"/>
  <dimension ref="A1:X58"/>
  <sheetViews>
    <sheetView view="pageBreakPreview" zoomScaleNormal="120" zoomScaleSheetLayoutView="100" workbookViewId="0">
      <selection activeCell="A12" sqref="A12:B12"/>
    </sheetView>
  </sheetViews>
  <sheetFormatPr baseColWidth="10" defaultColWidth="11" defaultRowHeight="14.25" x14ac:dyDescent="0.2"/>
  <cols>
    <col min="1" max="3" width="8.875" customWidth="1"/>
    <col min="4" max="5" width="6.5" customWidth="1"/>
    <col min="6" max="6" width="10.625" customWidth="1"/>
    <col min="7" max="7" width="8.75" style="9" customWidth="1"/>
    <col min="8" max="8" width="8.875" style="9" customWidth="1"/>
    <col min="9" max="9" width="4.875" style="9" customWidth="1"/>
    <col min="10" max="10" width="8.75" customWidth="1"/>
    <col min="11" max="11" width="4.5" style="9" customWidth="1"/>
    <col min="12" max="13" width="4.5" customWidth="1"/>
    <col min="14" max="14" width="4.5" style="9" customWidth="1"/>
  </cols>
  <sheetData>
    <row r="1" spans="1:18" ht="23.25" x14ac:dyDescent="0.2">
      <c r="A1" s="238" t="s">
        <v>9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1:18" ht="15" x14ac:dyDescent="0.25">
      <c r="A2" s="253" t="s">
        <v>0</v>
      </c>
      <c r="B2" s="254"/>
      <c r="C2" s="254"/>
      <c r="D2" s="254"/>
      <c r="E2" s="254"/>
      <c r="F2" s="255"/>
      <c r="G2" s="161" t="s">
        <v>1</v>
      </c>
      <c r="H2" s="162"/>
      <c r="I2" s="162"/>
      <c r="J2" s="162"/>
      <c r="K2" s="162"/>
      <c r="L2" s="162"/>
      <c r="M2" s="162"/>
      <c r="N2" s="162"/>
    </row>
    <row r="3" spans="1:18" ht="15" x14ac:dyDescent="0.25">
      <c r="A3" s="165" t="str">
        <f>VLOOKUP(DATEN!I2,DATEN!$I$1:$J$39,IF($K$3="Deutsch", 1, 2),FALSE)</f>
        <v>Kunde Name:</v>
      </c>
      <c r="B3" s="167"/>
      <c r="C3" s="11"/>
      <c r="D3" s="212">
        <f>'Bestellung Commande'!C2</f>
        <v>0</v>
      </c>
      <c r="E3" s="212"/>
      <c r="F3" s="212"/>
      <c r="G3" s="256" t="s">
        <v>2</v>
      </c>
      <c r="H3" s="257"/>
      <c r="I3" s="257"/>
      <c r="J3" s="258"/>
      <c r="K3" s="259" t="s">
        <v>3</v>
      </c>
      <c r="L3" s="260"/>
      <c r="M3" s="260"/>
      <c r="N3" s="261"/>
    </row>
    <row r="4" spans="1:18" ht="15" x14ac:dyDescent="0.25">
      <c r="A4" s="10" t="str">
        <f>VLOOKUP(DATEN!I3,DATEN!$I$1:$J$39,IF($K$3="Deutsch", 1, 2),FALSE)</f>
        <v>Kontaktperson:</v>
      </c>
      <c r="B4" s="11"/>
      <c r="C4" s="11"/>
      <c r="D4" s="212">
        <f>'Bestellung Commande'!C3</f>
        <v>0</v>
      </c>
      <c r="E4" s="212"/>
      <c r="F4" s="212"/>
      <c r="G4" s="256" t="str">
        <f>VLOOKUP(DATEN!I9,DATEN!$I$1:$J$39,IF($K$3="Deutsch", 1, 2),FALSE)</f>
        <v>Bestelldatum:</v>
      </c>
      <c r="H4" s="257"/>
      <c r="I4" s="257"/>
      <c r="J4" s="258"/>
      <c r="K4" s="263">
        <f>'Bestellung Commande'!L3</f>
        <v>0</v>
      </c>
      <c r="L4" s="260"/>
      <c r="M4" s="260"/>
      <c r="N4" s="261"/>
    </row>
    <row r="5" spans="1:18" ht="15" x14ac:dyDescent="0.25">
      <c r="A5" s="165" t="str">
        <f>VLOOKUP(DATEN!I4,DATEN!$I$1:$J$39,IF($K$3="Deutsch", 1, 2),FALSE)</f>
        <v>Kommision:</v>
      </c>
      <c r="B5" s="167"/>
      <c r="C5" s="11"/>
      <c r="D5" s="212">
        <f>'Bestellung Commande'!C4</f>
        <v>0</v>
      </c>
      <c r="E5" s="212"/>
      <c r="F5" s="212"/>
      <c r="G5" s="256" t="str">
        <f>VLOOKUP(DATEN!I10,DATEN!$I$1:$J$39,IF($K$3="Deutsch", 1, 2),FALSE)</f>
        <v>Wunsch Liefertermin:</v>
      </c>
      <c r="H5" s="257"/>
      <c r="I5" s="257"/>
      <c r="J5" s="258"/>
      <c r="K5" s="263">
        <f>'Bestellung Commande'!L4</f>
        <v>0</v>
      </c>
      <c r="L5" s="260"/>
      <c r="M5" s="260"/>
      <c r="N5" s="261"/>
    </row>
    <row r="6" spans="1:18" ht="15" x14ac:dyDescent="0.25">
      <c r="A6" s="165" t="str">
        <f>VLOOKUP(DATEN!I5,DATEN!$I$1:$J$39,IF($K$3="Deutsch", 1, 2),FALSE)</f>
        <v>Kontakt Telefon:</v>
      </c>
      <c r="B6" s="167"/>
      <c r="C6" s="11"/>
      <c r="D6" s="212">
        <f>'Bestellung Commande'!C5</f>
        <v>0</v>
      </c>
      <c r="E6" s="212"/>
      <c r="F6" s="212"/>
      <c r="G6" s="163" t="str">
        <f>VLOOKUP(DATEN!I11,DATEN!$I$1:$J$39,IF($K$3="Deutsch", 1, 2),FALSE)</f>
        <v>Bemerkung:</v>
      </c>
      <c r="H6" s="164"/>
      <c r="I6" s="164"/>
      <c r="J6" s="164"/>
      <c r="K6" s="164"/>
      <c r="L6" s="164"/>
      <c r="M6" s="164"/>
      <c r="N6" s="164"/>
    </row>
    <row r="7" spans="1:18" ht="15" x14ac:dyDescent="0.25">
      <c r="A7" s="264" t="s">
        <v>4</v>
      </c>
      <c r="B7" s="264"/>
      <c r="C7" s="264"/>
      <c r="D7" s="264"/>
      <c r="E7" s="264"/>
      <c r="F7" s="264"/>
      <c r="G7" s="225" t="str">
        <f>VLOOKUP(DATEN!I11,DATEN!$I$1:$J$39,IF($K$3="Deutsch", 1, 2),FALSE)</f>
        <v>Bemerkung:</v>
      </c>
      <c r="H7" s="225"/>
      <c r="I7" s="225"/>
      <c r="J7" s="225"/>
      <c r="K7" s="225"/>
      <c r="L7" s="225"/>
      <c r="M7" s="225"/>
      <c r="N7" s="225"/>
    </row>
    <row r="8" spans="1:18" ht="15" x14ac:dyDescent="0.25">
      <c r="A8" s="165" t="str">
        <f>VLOOKUP(DATEN!I6,DATEN!$I$1:$J$39,IF($K$3="Deutsch", 1, 2),FALSE)</f>
        <v>Strasse:</v>
      </c>
      <c r="B8" s="167"/>
      <c r="C8" s="11"/>
      <c r="D8" s="212">
        <f>'Bestellung Commande'!C8</f>
        <v>0</v>
      </c>
      <c r="E8" s="212"/>
      <c r="F8" s="212"/>
      <c r="G8" s="225"/>
      <c r="H8" s="225"/>
      <c r="I8" s="225"/>
      <c r="J8" s="225"/>
      <c r="K8" s="225"/>
      <c r="L8" s="225"/>
      <c r="M8" s="225"/>
      <c r="N8" s="225"/>
    </row>
    <row r="9" spans="1:18" ht="15" x14ac:dyDescent="0.25">
      <c r="A9" s="165" t="str">
        <f>VLOOKUP(DATEN!I7,DATEN!$I$1:$J$39,IF($K$3="Deutsch", 1, 2),FALSE)</f>
        <v>PLZ Ort:</v>
      </c>
      <c r="B9" s="167"/>
      <c r="C9" s="11"/>
      <c r="D9" s="212">
        <f>'Bestellung Commande'!C9</f>
        <v>0</v>
      </c>
      <c r="E9" s="212"/>
      <c r="F9" s="212"/>
      <c r="G9" s="225"/>
      <c r="H9" s="225"/>
      <c r="I9" s="225"/>
      <c r="J9" s="225"/>
      <c r="K9" s="225"/>
      <c r="L9" s="225"/>
      <c r="M9" s="225"/>
      <c r="N9" s="225"/>
    </row>
    <row r="10" spans="1:18" ht="15" customHeight="1" x14ac:dyDescent="0.25">
      <c r="A10" s="165" t="str">
        <f>VLOOKUP(DATEN!I8,DATEN!$I$1:$J$39,IF($K$3="Deutsch", 1, 2),FALSE)</f>
        <v>Kontakt:</v>
      </c>
      <c r="B10" s="167"/>
      <c r="C10" s="11"/>
      <c r="D10" s="212">
        <f>'Bestellung Commande'!C10</f>
        <v>0</v>
      </c>
      <c r="E10" s="212"/>
      <c r="F10" s="212"/>
      <c r="G10" s="262" t="str">
        <f>IF(VLOOKUP($A$17,'Bestellung Commande'!$A$27:$O$65,10,FALSE)&lt;&gt;"","Sonderbau!!!","")</f>
        <v/>
      </c>
      <c r="H10" s="262"/>
      <c r="I10" s="262"/>
      <c r="J10" s="262"/>
      <c r="K10" s="262"/>
      <c r="L10" s="262"/>
      <c r="M10" s="262"/>
      <c r="N10" s="262"/>
    </row>
    <row r="11" spans="1:18" ht="15" customHeight="1" x14ac:dyDescent="0.25">
      <c r="A11" s="264" t="s">
        <v>5</v>
      </c>
      <c r="B11" s="264"/>
      <c r="C11" s="264"/>
      <c r="D11" s="264"/>
      <c r="E11" s="264"/>
      <c r="F11" s="264"/>
      <c r="G11" s="262"/>
      <c r="H11" s="262"/>
      <c r="I11" s="262"/>
      <c r="J11" s="262"/>
      <c r="K11" s="262"/>
      <c r="L11" s="262"/>
      <c r="M11" s="262"/>
      <c r="N11" s="262"/>
    </row>
    <row r="12" spans="1:18" ht="15" customHeight="1" x14ac:dyDescent="0.4">
      <c r="A12" s="165" t="str">
        <f>VLOOKUP(DATEN!I6,DATEN!$I$1:$J$39,IF($K$3="Deutsch", 1, 2),FALSE)</f>
        <v>Strasse:</v>
      </c>
      <c r="B12" s="167"/>
      <c r="C12" s="11"/>
      <c r="D12" s="212">
        <f>'Bestellung Commande'!C12</f>
        <v>0</v>
      </c>
      <c r="E12" s="212"/>
      <c r="F12" s="212"/>
      <c r="G12" s="146"/>
      <c r="H12" s="146"/>
      <c r="I12" s="146"/>
      <c r="J12" s="146"/>
      <c r="K12" s="146"/>
      <c r="L12" s="146"/>
      <c r="M12" s="146"/>
      <c r="N12" s="146"/>
    </row>
    <row r="13" spans="1:18" ht="15" customHeight="1" x14ac:dyDescent="0.4">
      <c r="A13" s="165" t="str">
        <f>VLOOKUP(DATEN!I7,DATEN!$I$1:$J$39,IF($K$3="Deutsch", 1, 2),FALSE)</f>
        <v>PLZ Ort:</v>
      </c>
      <c r="B13" s="167"/>
      <c r="C13" s="11"/>
      <c r="D13" s="212">
        <f>'Bestellung Commande'!C13</f>
        <v>0</v>
      </c>
      <c r="E13" s="212"/>
      <c r="F13" s="212"/>
      <c r="G13" s="146"/>
      <c r="H13" s="146"/>
      <c r="I13" s="146"/>
      <c r="J13" s="146"/>
      <c r="K13" s="146"/>
      <c r="L13" s="146"/>
      <c r="M13" s="146"/>
      <c r="N13" s="146"/>
    </row>
    <row r="14" spans="1:18" ht="15" customHeight="1" x14ac:dyDescent="0.4">
      <c r="A14" s="165" t="str">
        <f>VLOOKUP(DATEN!I8,DATEN!$I$1:$J$39,IF($K$3="Deutsch", 1, 2),FALSE)</f>
        <v>Kontakt:</v>
      </c>
      <c r="B14" s="167"/>
      <c r="C14" s="11"/>
      <c r="D14" s="212">
        <f>'Bestellung Commande'!C14</f>
        <v>0</v>
      </c>
      <c r="E14" s="212"/>
      <c r="F14" s="212"/>
      <c r="G14" s="146"/>
      <c r="H14" s="146"/>
      <c r="I14" s="146"/>
      <c r="J14" s="146"/>
      <c r="K14" s="146"/>
      <c r="L14" s="146"/>
      <c r="M14" s="146"/>
      <c r="N14" s="146"/>
    </row>
    <row r="15" spans="1:18" ht="15.75" thickBot="1" x14ac:dyDescent="0.3">
      <c r="A15" s="140" t="str">
        <f>'Bestellung Commande'!A67</f>
        <v>V9.5</v>
      </c>
      <c r="B15" s="14"/>
      <c r="C15" s="14"/>
      <c r="D15" s="15"/>
      <c r="E15" s="15"/>
      <c r="F15" s="15"/>
      <c r="G15" s="13"/>
      <c r="H15" s="13"/>
      <c r="I15" s="13"/>
      <c r="J15" s="13"/>
      <c r="K15" s="13"/>
      <c r="L15" s="13"/>
      <c r="M15" s="16">
        <f>'Bestellung Commande'!N24</f>
        <v>73</v>
      </c>
      <c r="N15" s="13"/>
      <c r="O15" s="20" t="s">
        <v>220</v>
      </c>
      <c r="P15" s="9"/>
      <c r="Q15" s="9"/>
      <c r="R15" s="9"/>
    </row>
    <row r="16" spans="1:18" s="19" customFormat="1" ht="28.5" customHeight="1" x14ac:dyDescent="0.2">
      <c r="A16" s="17" t="s">
        <v>216</v>
      </c>
      <c r="B16" s="176" t="str">
        <f>VLOOKUP(DATEN!I14,DATEN!$I$1:$J$39,IF($K$3="Deutsch", 1, 2),FALSE)</f>
        <v>Anz.
Flügel</v>
      </c>
      <c r="C16" s="176"/>
      <c r="D16" s="17" t="str">
        <f>VLOOKUP(DATEN!I15,DATEN!$I$1:$J$39,IF($K$3="Deutsch", 1, 2),FALSE)</f>
        <v>Stk Schw.</v>
      </c>
      <c r="E16" s="17" t="str">
        <f>VLOOKUP(DATEN!I16,DATEN!$I$1:$J$39,IF($K$3="Deutsch", 1, 2),FALSE)</f>
        <v>RA</v>
      </c>
      <c r="F16" s="17" t="str">
        <f>VLOOKUP(DATEN!I17,DATEN!$I$1:$J$39,IF($K$3="Deutsch", 1, 2),FALSE)</f>
        <v>RBL 
(min45)</v>
      </c>
      <c r="G16" s="17" t="str">
        <f>VLOOKUP(DATEN!I18,DATEN!$I$1:$J$39,IF($K$3="Deutsch", 1, 2),FALSE)</f>
        <v>RBR 
(min45)</v>
      </c>
      <c r="H16" s="17"/>
      <c r="I16" s="184" t="str">
        <f>VLOOKUP(DATEN!I19,DATEN!$I$1:$J$39,IF($K$3="Deutsch", 1, 2),FALSE)</f>
        <v>Verbreiterungen</v>
      </c>
      <c r="J16" s="185"/>
      <c r="K16" s="185"/>
      <c r="L16" s="185"/>
      <c r="M16" s="18" t="str">
        <f>VLOOKUP(DATEN!I20,DATEN!$I$1:$J$39,IF($K$3="Deutsch",1,2),FALSE)</f>
        <v>Total</v>
      </c>
      <c r="N16" s="17"/>
      <c r="O16" s="20" t="str">
        <f>E25</f>
        <v>Profil</v>
      </c>
      <c r="P16" s="20" t="str">
        <f>A26</f>
        <v>Links</v>
      </c>
      <c r="Q16" s="20" t="str">
        <f>A27</f>
        <v>Rechts</v>
      </c>
      <c r="R16" s="20" t="str">
        <f>A28</f>
        <v>Mittelteil</v>
      </c>
    </row>
    <row r="17" spans="1:24" ht="15" thickBot="1" x14ac:dyDescent="0.25">
      <c r="A17" s="41">
        <v>18</v>
      </c>
      <c r="B17" s="268">
        <f>VLOOKUP($A$17,'Bestellung Commande'!$A$27:$O$65,3,FALSE)</f>
        <v>0</v>
      </c>
      <c r="C17" s="268"/>
      <c r="D17" s="41">
        <f>VLOOKUP($A$17,'Bestellung Commande'!$A$27:$O$65,5,FALSE)</f>
        <v>0</v>
      </c>
      <c r="E17" s="41">
        <f>VLOOKUP($A$17,'Bestellung Commande'!$A$27:$O$65,6,FALSE)</f>
        <v>0</v>
      </c>
      <c r="F17" s="41">
        <f>VLOOKUP($A$17,'Bestellung Commande'!$A$27:$O$65,7,FALSE)</f>
        <v>0</v>
      </c>
      <c r="G17" s="41">
        <f>VLOOKUP($A$17,'Bestellung Commande'!$A$27:$O$65,8,FALSE)</f>
        <v>0</v>
      </c>
      <c r="H17" s="41">
        <f>VLOOKUP($A$17,'Bestellung Commande'!$A$27:$O$65,9,FALSE)</f>
        <v>0</v>
      </c>
      <c r="I17" s="22">
        <f>VLOOKUP($A$17,'Bestellung Commande'!$A$27:$O$65,10,FALSE)</f>
        <v>0</v>
      </c>
      <c r="J17" s="23">
        <f>VLOOKUP($A$17,'Bestellung Commande'!$A$27:$O$65,11,FALSE)</f>
        <v>0</v>
      </c>
      <c r="K17" s="23">
        <f>VLOOKUP($A$17,'Bestellung Commande'!$A$27:$O$65,12,FALSE)</f>
        <v>0</v>
      </c>
      <c r="L17" s="23">
        <f>VLOOKUP($A$17,'Bestellung Commande'!$A$27:$O$65,13,FALSE)</f>
        <v>0</v>
      </c>
      <c r="M17" s="125">
        <f>VLOOKUP($A$17,'Bestellung Commande'!$A$27:$O$65,14,FALSE)</f>
        <v>0</v>
      </c>
      <c r="N17" s="24"/>
      <c r="O17" s="9" t="str">
        <f>F25</f>
        <v>C298927</v>
      </c>
      <c r="P17" s="29">
        <f>F26</f>
        <v>20</v>
      </c>
      <c r="Q17" s="29">
        <f>F27</f>
        <v>20</v>
      </c>
      <c r="R17" s="29">
        <f>F28</f>
        <v>-42</v>
      </c>
    </row>
    <row r="18" spans="1:24" x14ac:dyDescent="0.2">
      <c r="B18" s="41" cm="1">
        <f t="array" ref="B18">INDEX('Bestellung Commande'!$C$27:$C$66, MATCH($A$17, 'Bestellung Commande'!$A$27:$A$66, 0) + 1)</f>
        <v>0</v>
      </c>
      <c r="C18" s="41" cm="1">
        <f t="array" ref="C18">INDEX('Bestellung Commande'!$D$27:$D$66, MATCH($A$17, 'Bestellung Commande'!$A$27:$A$66, 0) + 1)</f>
        <v>0</v>
      </c>
    </row>
    <row r="20" spans="1:24" ht="15" x14ac:dyDescent="0.25">
      <c r="A20" s="267" t="s">
        <v>10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</row>
    <row r="21" spans="1:24" ht="15" x14ac:dyDescent="0.25">
      <c r="E21" s="25" t="s">
        <v>11</v>
      </c>
      <c r="F21" s="9" t="s">
        <v>12</v>
      </c>
      <c r="G21"/>
      <c r="H21"/>
      <c r="I21"/>
    </row>
    <row r="22" spans="1:24" x14ac:dyDescent="0.2">
      <c r="E22" t="s">
        <v>13</v>
      </c>
      <c r="F22" s="26">
        <f>E17</f>
        <v>0</v>
      </c>
      <c r="G22"/>
      <c r="H22"/>
      <c r="I22"/>
    </row>
    <row r="23" spans="1:24" x14ac:dyDescent="0.2">
      <c r="F23" s="9">
        <f>B17</f>
        <v>0</v>
      </c>
      <c r="G23"/>
      <c r="H23"/>
      <c r="I23"/>
    </row>
    <row r="24" spans="1:24" ht="15" x14ac:dyDescent="0.25">
      <c r="A24" s="267" t="s">
        <v>14</v>
      </c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</row>
    <row r="25" spans="1:24" ht="15" x14ac:dyDescent="0.25">
      <c r="E25" s="25" t="s">
        <v>11</v>
      </c>
      <c r="F25" s="9" t="s">
        <v>15</v>
      </c>
      <c r="G25"/>
      <c r="H25"/>
      <c r="I25"/>
    </row>
    <row r="26" spans="1:24" x14ac:dyDescent="0.2">
      <c r="A26" t="s">
        <v>16</v>
      </c>
      <c r="E26" t="s">
        <v>13</v>
      </c>
      <c r="F26" s="26">
        <f>F17+20</f>
        <v>20</v>
      </c>
      <c r="G26"/>
      <c r="H26"/>
      <c r="I26"/>
      <c r="W26" s="121" t="s">
        <v>208</v>
      </c>
      <c r="X26" s="122">
        <f>F37-F36</f>
        <v>-100</v>
      </c>
    </row>
    <row r="27" spans="1:24" x14ac:dyDescent="0.2">
      <c r="A27" t="s">
        <v>17</v>
      </c>
      <c r="E27" t="s">
        <v>13</v>
      </c>
      <c r="F27" s="26">
        <f>G17+20</f>
        <v>20</v>
      </c>
      <c r="G27"/>
      <c r="H27"/>
      <c r="I27"/>
      <c r="W27" t="s">
        <v>209</v>
      </c>
      <c r="X27">
        <f>[1]DATEN!D14</f>
        <v>300</v>
      </c>
    </row>
    <row r="28" spans="1:24" x14ac:dyDescent="0.2">
      <c r="A28" t="s">
        <v>18</v>
      </c>
      <c r="E28" t="s">
        <v>13</v>
      </c>
      <c r="F28" s="26">
        <f>(E17-(F26+F27))-2</f>
        <v>-42</v>
      </c>
      <c r="G28"/>
      <c r="H28"/>
      <c r="I28"/>
      <c r="P28" t="s">
        <v>293</v>
      </c>
      <c r="T28" t="s">
        <v>294</v>
      </c>
      <c r="W28" t="s">
        <v>210</v>
      </c>
      <c r="X28">
        <f>ROUNDUP(X26/X27,0)</f>
        <v>-1</v>
      </c>
    </row>
    <row r="29" spans="1:24" ht="15" x14ac:dyDescent="0.25">
      <c r="A29" s="267" t="s">
        <v>19</v>
      </c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7" t="str">
        <f t="shared" ref="O29:O39" si="0">IF(AND($F$32&gt;=Q29,$F$32&lt;R29),P29,"")</f>
        <v/>
      </c>
      <c r="P29" s="28" t="str">
        <f>" "</f>
        <v xml:space="preserve"> </v>
      </c>
      <c r="Q29" s="28">
        <v>-1000000</v>
      </c>
      <c r="R29" s="28">
        <v>0</v>
      </c>
      <c r="S29" s="27" t="str">
        <f t="shared" ref="S29:S39" si="1">IF(AND($G$32&gt;=U29,$G$32&lt;V29),T29,"")</f>
        <v/>
      </c>
      <c r="T29" s="28" t="str">
        <f t="shared" ref="T29:T30" si="2">P29</f>
        <v xml:space="preserve"> </v>
      </c>
      <c r="U29" s="28">
        <f t="shared" ref="U29:U30" si="3">Q29</f>
        <v>-1000000</v>
      </c>
      <c r="V29" s="28">
        <f t="shared" ref="V29:V30" si="4">R29</f>
        <v>0</v>
      </c>
      <c r="W29" t="s">
        <v>211</v>
      </c>
      <c r="X29">
        <f>X26/X28</f>
        <v>100</v>
      </c>
    </row>
    <row r="30" spans="1:24" ht="15" x14ac:dyDescent="0.25">
      <c r="F30" s="25" t="s">
        <v>293</v>
      </c>
      <c r="G30" s="25" t="s">
        <v>294</v>
      </c>
      <c r="H30"/>
      <c r="I30"/>
      <c r="K30"/>
      <c r="N30"/>
      <c r="O30" s="27" t="str">
        <f t="shared" si="0"/>
        <v/>
      </c>
      <c r="P30" s="28"/>
      <c r="Q30" s="28">
        <v>0.1</v>
      </c>
      <c r="R30" s="28">
        <v>247.9</v>
      </c>
      <c r="S30" s="27" t="str">
        <f t="shared" si="1"/>
        <v/>
      </c>
      <c r="T30" s="28">
        <f t="shared" si="2"/>
        <v>0</v>
      </c>
      <c r="U30" s="28">
        <f t="shared" si="3"/>
        <v>0.1</v>
      </c>
      <c r="V30" s="28">
        <f t="shared" si="4"/>
        <v>247.9</v>
      </c>
    </row>
    <row r="31" spans="1:24" x14ac:dyDescent="0.2">
      <c r="F31" s="9" t="str">
        <f>O29&amp;O31&amp;O32&amp;O33&amp;O34&amp;O35&amp;O36&amp;O37&amp;O38&amp;O39</f>
        <v/>
      </c>
      <c r="G31" s="9" t="str">
        <f>S29&amp;S31&amp;S32&amp;S33&amp;S34&amp;S35&amp;S36&amp;S37&amp;S38&amp;S39</f>
        <v/>
      </c>
      <c r="I31"/>
      <c r="O31" s="27" t="str">
        <f t="shared" si="0"/>
        <v/>
      </c>
      <c r="P31" s="28" t="str">
        <f>DATEN!M7</f>
        <v>C555366</v>
      </c>
      <c r="Q31" s="28">
        <f>DATEN!N7</f>
        <v>275</v>
      </c>
      <c r="R31" s="28">
        <f>DATEN!O7</f>
        <v>400</v>
      </c>
      <c r="S31" s="27" t="str">
        <f t="shared" si="1"/>
        <v/>
      </c>
      <c r="T31" s="28" t="str">
        <f>P31</f>
        <v>C555366</v>
      </c>
      <c r="U31" s="28">
        <f t="shared" ref="U31:V39" si="5">Q31</f>
        <v>275</v>
      </c>
      <c r="V31" s="28">
        <f t="shared" si="5"/>
        <v>400</v>
      </c>
      <c r="W31">
        <v>1</v>
      </c>
      <c r="X31" s="29">
        <f>F36</f>
        <v>50</v>
      </c>
    </row>
    <row r="32" spans="1:24" x14ac:dyDescent="0.2">
      <c r="A32" t="s">
        <v>13</v>
      </c>
      <c r="F32" s="26" t="b">
        <f>IF(AND(B17=1,B18=0),H17,IF(AND(B17=1,B18&gt;0),B18,IF(AND(B17=2,B18=0),(H17-20)/2,IF(AND(B17=2,B18&gt;0),B18))))</f>
        <v>0</v>
      </c>
      <c r="G32" s="26">
        <f>IF(B17=1,0,IF(AND(B17=2,C18=0),0,C18))</f>
        <v>0</v>
      </c>
      <c r="I32"/>
      <c r="O32" s="27" t="str">
        <f t="shared" si="0"/>
        <v/>
      </c>
      <c r="P32" s="28" t="str">
        <f>DATEN!M8</f>
        <v>C555367</v>
      </c>
      <c r="Q32" s="28">
        <f>DATEN!N8</f>
        <v>400</v>
      </c>
      <c r="R32" s="28">
        <f>DATEN!O8</f>
        <v>550</v>
      </c>
      <c r="S32" s="27" t="str">
        <f t="shared" si="1"/>
        <v/>
      </c>
      <c r="T32" s="28" t="str">
        <f t="shared" ref="T32:T39" si="6">P32</f>
        <v>C555367</v>
      </c>
      <c r="U32" s="28">
        <f t="shared" si="5"/>
        <v>400</v>
      </c>
      <c r="V32" s="28">
        <f t="shared" si="5"/>
        <v>550</v>
      </c>
      <c r="W32">
        <v>2</v>
      </c>
      <c r="X32" s="29">
        <f>ROUND(IF(W32-1&gt;$X$28,0,X31+$X$29),0)</f>
        <v>0</v>
      </c>
    </row>
    <row r="33" spans="1:24" x14ac:dyDescent="0.2">
      <c r="A33" t="s">
        <v>23</v>
      </c>
      <c r="F33" s="30">
        <f>IF(AND(B17=2,B18=0),B17,1)*D17</f>
        <v>0</v>
      </c>
      <c r="G33" s="30">
        <f>IF(G32&gt;0,1,0)*D17</f>
        <v>0</v>
      </c>
      <c r="I33"/>
      <c r="O33" s="27" t="str">
        <f t="shared" si="0"/>
        <v/>
      </c>
      <c r="P33" s="28" t="str">
        <f>DATEN!M9</f>
        <v>C555368</v>
      </c>
      <c r="Q33" s="28">
        <f>DATEN!N9</f>
        <v>550</v>
      </c>
      <c r="R33" s="28">
        <f>DATEN!O9</f>
        <v>700</v>
      </c>
      <c r="S33" s="27" t="str">
        <f t="shared" si="1"/>
        <v/>
      </c>
      <c r="T33" s="28" t="str">
        <f t="shared" si="6"/>
        <v>C555368</v>
      </c>
      <c r="U33" s="28">
        <f t="shared" si="5"/>
        <v>550</v>
      </c>
      <c r="V33" s="28">
        <f t="shared" si="5"/>
        <v>700</v>
      </c>
      <c r="W33">
        <v>3</v>
      </c>
      <c r="X33" s="29">
        <f t="shared" ref="X33:X40" si="7">ROUND(IF(W33-1&gt;$X$28,0,X32+$X$29),0)</f>
        <v>0</v>
      </c>
    </row>
    <row r="34" spans="1:24" ht="15" x14ac:dyDescent="0.25">
      <c r="A34" s="267" t="s">
        <v>25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7" t="str">
        <f>IF(AND($F$32&gt;=Q34,$F$32&lt;R34),P34,"")</f>
        <v/>
      </c>
      <c r="P34" s="28" t="str">
        <f>DATEN!M10</f>
        <v>C555369</v>
      </c>
      <c r="Q34" s="28">
        <f>DATEN!N10</f>
        <v>700</v>
      </c>
      <c r="R34" s="28">
        <f>DATEN!O10</f>
        <v>850</v>
      </c>
      <c r="S34" s="27" t="str">
        <f t="shared" si="1"/>
        <v/>
      </c>
      <c r="T34" s="28" t="str">
        <f t="shared" si="6"/>
        <v>C555369</v>
      </c>
      <c r="U34" s="28">
        <f t="shared" si="5"/>
        <v>700</v>
      </c>
      <c r="V34" s="28">
        <f t="shared" si="5"/>
        <v>850</v>
      </c>
      <c r="W34">
        <v>4</v>
      </c>
      <c r="X34" s="29">
        <f t="shared" si="7"/>
        <v>0</v>
      </c>
    </row>
    <row r="35" spans="1:24" ht="15" x14ac:dyDescent="0.25">
      <c r="A35" s="31" t="s">
        <v>27</v>
      </c>
      <c r="F35" s="9" t="s">
        <v>28</v>
      </c>
      <c r="G35" s="32" t="s">
        <v>29</v>
      </c>
      <c r="H35" s="32"/>
      <c r="I35"/>
      <c r="O35" s="27" t="str">
        <f t="shared" si="0"/>
        <v/>
      </c>
      <c r="P35" s="28" t="str">
        <f>DATEN!M11</f>
        <v>C555370</v>
      </c>
      <c r="Q35" s="28">
        <f>DATEN!N11</f>
        <v>850</v>
      </c>
      <c r="R35" s="28">
        <f>DATEN!O11</f>
        <v>1000</v>
      </c>
      <c r="S35" s="27" t="str">
        <f>IF(AND($G$32&gt;=U35,$G$32&lt;V35),T35,"")</f>
        <v/>
      </c>
      <c r="T35" s="28" t="str">
        <f t="shared" si="6"/>
        <v>C555370</v>
      </c>
      <c r="U35" s="28">
        <f t="shared" si="5"/>
        <v>850</v>
      </c>
      <c r="V35" s="28">
        <f t="shared" si="5"/>
        <v>1000</v>
      </c>
      <c r="W35">
        <v>5</v>
      </c>
      <c r="X35" s="29">
        <f t="shared" si="7"/>
        <v>0</v>
      </c>
    </row>
    <row r="36" spans="1:24" x14ac:dyDescent="0.2">
      <c r="A36" t="s">
        <v>31</v>
      </c>
      <c r="F36" s="26">
        <f>F17+50</f>
        <v>50</v>
      </c>
      <c r="G36"/>
      <c r="H36" t="s">
        <v>206</v>
      </c>
      <c r="I36"/>
      <c r="O36" s="27" t="str">
        <f t="shared" si="0"/>
        <v/>
      </c>
      <c r="P36" s="28" t="str">
        <f>DATEN!M12</f>
        <v>C555371</v>
      </c>
      <c r="Q36" s="28">
        <f>DATEN!N12</f>
        <v>1000</v>
      </c>
      <c r="R36" s="28">
        <f>DATEN!O12</f>
        <v>1150</v>
      </c>
      <c r="S36" s="27" t="str">
        <f t="shared" si="1"/>
        <v/>
      </c>
      <c r="T36" s="28" t="str">
        <f t="shared" si="6"/>
        <v>C555371</v>
      </c>
      <c r="U36" s="28">
        <f t="shared" si="5"/>
        <v>1000</v>
      </c>
      <c r="V36" s="28">
        <f t="shared" si="5"/>
        <v>1150</v>
      </c>
      <c r="W36">
        <v>6</v>
      </c>
      <c r="X36" s="29">
        <f t="shared" si="7"/>
        <v>0</v>
      </c>
    </row>
    <row r="37" spans="1:24" x14ac:dyDescent="0.2">
      <c r="A37" t="s">
        <v>33</v>
      </c>
      <c r="F37" s="26">
        <f>F17+H17-DATEN!$D$13</f>
        <v>-50</v>
      </c>
      <c r="H37" t="s">
        <v>36</v>
      </c>
      <c r="I37"/>
      <c r="J37" s="9">
        <f>X28+1</f>
        <v>0</v>
      </c>
      <c r="O37" s="27" t="str">
        <f t="shared" si="0"/>
        <v/>
      </c>
      <c r="P37" s="28" t="str">
        <f>DATEN!M13</f>
        <v>C555372</v>
      </c>
      <c r="Q37" s="28">
        <f>DATEN!N13</f>
        <v>1150</v>
      </c>
      <c r="R37" s="28">
        <f>DATEN!O13</f>
        <v>1300</v>
      </c>
      <c r="S37" s="27" t="str">
        <f t="shared" si="1"/>
        <v/>
      </c>
      <c r="T37" s="28" t="str">
        <f t="shared" si="6"/>
        <v>C555372</v>
      </c>
      <c r="U37" s="28">
        <f t="shared" si="5"/>
        <v>1150</v>
      </c>
      <c r="V37" s="28">
        <f t="shared" si="5"/>
        <v>1300</v>
      </c>
      <c r="W37">
        <v>7</v>
      </c>
      <c r="X37" s="29">
        <f t="shared" si="7"/>
        <v>0</v>
      </c>
    </row>
    <row r="38" spans="1:24" x14ac:dyDescent="0.2">
      <c r="A38" s="33" t="s">
        <v>35</v>
      </c>
      <c r="F38" s="123" t="str">
        <f>X31&amp;IF(X32="",""," / ")&amp;X32  &amp; IF(X33="",""," / ")&amp;X33&amp; IF(X34="",""," / ")&amp;X34&amp; IF(X35="",""," / ")&amp;X35&amp; IF(X36="",""," / ")&amp;X36&amp; IF(X37="",""," / ")&amp;X37&amp; IF(X38="",""," / ")&amp;X38&amp; IF(X39="",""," / ")&amp;X39&amp; IF(X40="",""," / ")&amp;X40</f>
        <v>50 / 0 / 0 / 0 / 0 / 0 / 0 / 0 / 0 / 0</v>
      </c>
      <c r="O38" s="27" t="str">
        <f t="shared" si="0"/>
        <v/>
      </c>
      <c r="P38" s="28" t="str">
        <f>DATEN!M14</f>
        <v>C555373</v>
      </c>
      <c r="Q38" s="28">
        <f>DATEN!N14</f>
        <v>1300</v>
      </c>
      <c r="R38" s="28">
        <f>DATEN!O14</f>
        <v>1450</v>
      </c>
      <c r="S38" s="27" t="str">
        <f t="shared" si="1"/>
        <v/>
      </c>
      <c r="T38" s="28" t="str">
        <f t="shared" si="6"/>
        <v>C555373</v>
      </c>
      <c r="U38" s="28">
        <f t="shared" si="5"/>
        <v>1300</v>
      </c>
      <c r="V38" s="28">
        <f t="shared" si="5"/>
        <v>1450</v>
      </c>
      <c r="W38">
        <v>8</v>
      </c>
      <c r="X38" s="29">
        <f t="shared" si="7"/>
        <v>0</v>
      </c>
    </row>
    <row r="39" spans="1:24" x14ac:dyDescent="0.2">
      <c r="F39" s="9"/>
      <c r="G39"/>
      <c r="H39"/>
      <c r="I39"/>
      <c r="O39" s="27" t="str">
        <f t="shared" si="0"/>
        <v/>
      </c>
      <c r="P39" s="28" t="str">
        <f>DATEN!M15</f>
        <v>Zu Lang</v>
      </c>
      <c r="Q39" s="28">
        <f>DATEN!N15</f>
        <v>1450.1</v>
      </c>
      <c r="R39" s="28">
        <f>DATEN!O15</f>
        <v>1000000</v>
      </c>
      <c r="S39" s="27" t="str">
        <f t="shared" si="1"/>
        <v/>
      </c>
      <c r="T39" s="28" t="str">
        <f t="shared" si="6"/>
        <v>Zu Lang</v>
      </c>
      <c r="U39" s="28">
        <f t="shared" si="5"/>
        <v>1450.1</v>
      </c>
      <c r="V39" s="28">
        <f t="shared" si="5"/>
        <v>1000000</v>
      </c>
      <c r="W39">
        <v>9</v>
      </c>
      <c r="X39" s="29">
        <f t="shared" si="7"/>
        <v>0</v>
      </c>
    </row>
    <row r="40" spans="1:24" ht="15" x14ac:dyDescent="0.25">
      <c r="A40" s="267" t="s">
        <v>39</v>
      </c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W40">
        <v>10</v>
      </c>
      <c r="X40" s="29">
        <f t="shared" si="7"/>
        <v>0</v>
      </c>
    </row>
    <row r="41" spans="1:24" x14ac:dyDescent="0.2">
      <c r="A41" t="s">
        <v>41</v>
      </c>
      <c r="F41" s="26">
        <f>G17-15</f>
        <v>-15</v>
      </c>
      <c r="G41"/>
      <c r="H41"/>
      <c r="I41"/>
    </row>
    <row r="42" spans="1:24" x14ac:dyDescent="0.2">
      <c r="A42" t="s">
        <v>42</v>
      </c>
      <c r="F42" s="26">
        <f>E17-G17+15</f>
        <v>15</v>
      </c>
      <c r="G42"/>
      <c r="H42"/>
      <c r="I42"/>
    </row>
    <row r="43" spans="1:24" x14ac:dyDescent="0.2">
      <c r="A43" t="s">
        <v>43</v>
      </c>
      <c r="F43" s="26">
        <f>G17-35</f>
        <v>-35</v>
      </c>
      <c r="G43"/>
      <c r="H43"/>
      <c r="I43"/>
    </row>
    <row r="44" spans="1:24" x14ac:dyDescent="0.2">
      <c r="A44" t="s">
        <v>44</v>
      </c>
      <c r="F44" s="26">
        <f>E17-G17+35</f>
        <v>35</v>
      </c>
      <c r="G44"/>
      <c r="H44"/>
      <c r="I44"/>
    </row>
    <row r="45" spans="1:24" x14ac:dyDescent="0.2">
      <c r="A45" t="s">
        <v>45</v>
      </c>
      <c r="F45" s="26">
        <f>F17-23</f>
        <v>-23</v>
      </c>
      <c r="G45"/>
      <c r="H45"/>
      <c r="I45"/>
    </row>
    <row r="46" spans="1:24" x14ac:dyDescent="0.2">
      <c r="A46" t="s">
        <v>46</v>
      </c>
      <c r="F46" s="26">
        <f>E17-G17+23</f>
        <v>23</v>
      </c>
      <c r="G46"/>
      <c r="H46"/>
      <c r="I46"/>
    </row>
    <row r="47" spans="1:24" x14ac:dyDescent="0.2">
      <c r="F47" s="9"/>
      <c r="G47"/>
      <c r="H47"/>
      <c r="I47"/>
      <c r="P47" s="9"/>
    </row>
    <row r="48" spans="1:24" ht="15" x14ac:dyDescent="0.25">
      <c r="A48" s="34" t="s">
        <v>47</v>
      </c>
      <c r="B48" s="35"/>
      <c r="C48" s="35"/>
      <c r="D48" s="35"/>
      <c r="E48" s="35"/>
      <c r="F48" s="35" t="s">
        <v>48</v>
      </c>
      <c r="G48" s="35"/>
      <c r="H48" s="35"/>
      <c r="I48" s="35"/>
      <c r="J48" s="35"/>
      <c r="K48" s="35"/>
      <c r="L48" s="35"/>
    </row>
    <row r="49" spans="1:14" x14ac:dyDescent="0.2">
      <c r="A49" t="s">
        <v>49</v>
      </c>
      <c r="F49" s="26">
        <v>25</v>
      </c>
      <c r="G49"/>
      <c r="H49"/>
      <c r="I49"/>
    </row>
    <row r="50" spans="1:14" x14ac:dyDescent="0.2">
      <c r="A50" t="s">
        <v>33</v>
      </c>
      <c r="F50" s="26">
        <f>F28-25</f>
        <v>-67</v>
      </c>
      <c r="G50"/>
      <c r="H50"/>
      <c r="I50"/>
    </row>
    <row r="51" spans="1:14" x14ac:dyDescent="0.2">
      <c r="A51" s="33" t="s">
        <v>35</v>
      </c>
      <c r="F51" s="36" t="s">
        <v>50</v>
      </c>
      <c r="G51"/>
      <c r="H51"/>
      <c r="I51" t="s">
        <v>36</v>
      </c>
    </row>
    <row r="52" spans="1:14" x14ac:dyDescent="0.2">
      <c r="F52" s="129" t="str">
        <f>IF(B17=2,"Achtung!! 2 Flüglig!! Mittleres Loch auslassen","")</f>
        <v/>
      </c>
      <c r="G52"/>
      <c r="H52"/>
      <c r="I52"/>
    </row>
    <row r="53" spans="1:14" ht="15" x14ac:dyDescent="0.25">
      <c r="A53" s="267" t="s">
        <v>51</v>
      </c>
      <c r="B53" s="267"/>
      <c r="C53" s="267"/>
      <c r="D53" s="267"/>
      <c r="E53" s="267"/>
      <c r="F53" s="267"/>
      <c r="G53" s="267"/>
      <c r="H53" s="267"/>
      <c r="I53" s="267"/>
      <c r="J53" s="267"/>
      <c r="K53" s="267"/>
      <c r="L53" s="267"/>
    </row>
    <row r="54" spans="1:14" x14ac:dyDescent="0.2">
      <c r="A54" s="35" t="s">
        <v>52</v>
      </c>
      <c r="B54" s="37" t="s">
        <v>53</v>
      </c>
      <c r="C54" s="37"/>
      <c r="D54" s="206" t="s">
        <v>54</v>
      </c>
      <c r="E54" s="206"/>
      <c r="F54" s="35" t="s">
        <v>55</v>
      </c>
      <c r="G54" s="35"/>
      <c r="H54" s="35"/>
      <c r="I54" s="35"/>
      <c r="J54" s="35"/>
      <c r="K54" s="266" t="s">
        <v>13</v>
      </c>
      <c r="L54" s="266"/>
    </row>
    <row r="55" spans="1:14" x14ac:dyDescent="0.2">
      <c r="A55" s="12">
        <v>1</v>
      </c>
      <c r="B55" s="9">
        <f>VLOOKUP(A17,'Bestellung Commande'!A27:O65,11,FALSE)</f>
        <v>0</v>
      </c>
      <c r="C55" s="9"/>
      <c r="D55" s="252">
        <f>IF(ISERROR(VLOOKUP($B55,DATEN!$A$3:$D$10,2,FALSE)),"",VLOOKUP($B55,DATEN!$A$3:$D$10,2,FALSE))</f>
        <v>0</v>
      </c>
      <c r="E55" s="252"/>
      <c r="F55" s="12">
        <f>IF(ISERROR(VLOOKUP($B55,DATEN!$A$3:$D$10,3,FALSE)),"",VLOOKUP($B55,DATEN!$A$3:$D$10,3,FALSE))</f>
        <v>0</v>
      </c>
      <c r="G55"/>
      <c r="H55"/>
      <c r="K55" s="265">
        <f>$F$22</f>
        <v>0</v>
      </c>
      <c r="L55" s="265"/>
    </row>
    <row r="56" spans="1:14" x14ac:dyDescent="0.2">
      <c r="A56" s="12">
        <v>2</v>
      </c>
      <c r="B56" s="9">
        <f>VLOOKUP(A17,'Bestellung Commande'!A27:O65,12,FALSE)</f>
        <v>0</v>
      </c>
      <c r="C56" s="9"/>
      <c r="D56" s="252">
        <f>IF(ISERROR(VLOOKUP($B56,DATEN!$A$3:$D$10,2,FALSE)),"",VLOOKUP($B56,DATEN!$A$3:$D$10,2,FALSE))</f>
        <v>0</v>
      </c>
      <c r="E56" s="252"/>
      <c r="F56" s="9">
        <f>IF(ISERROR(VLOOKUP($B56,DATEN!$A$3:$D$10,3,FALSE)),"",VLOOKUP($B56,DATEN!$A$3:$D$10,3,FALSE))</f>
        <v>0</v>
      </c>
      <c r="G56"/>
      <c r="H56"/>
      <c r="K56" s="265">
        <f t="shared" ref="K56:K58" si="8">$F$22</f>
        <v>0</v>
      </c>
      <c r="L56" s="265"/>
    </row>
    <row r="57" spans="1:14" x14ac:dyDescent="0.2">
      <c r="A57" s="12">
        <v>3</v>
      </c>
      <c r="B57" s="9">
        <f>VLOOKUP(A17,'Bestellung Commande'!A27:O65,13,FALSE)</f>
        <v>0</v>
      </c>
      <c r="C57" s="9"/>
      <c r="D57" s="252">
        <f>IF(ISERROR(VLOOKUP($B57,DATEN!$A$3:$D$10,2,FALSE)),"",VLOOKUP($B57,DATEN!$A$3:$D$10,2,FALSE))</f>
        <v>0</v>
      </c>
      <c r="E57" s="252"/>
      <c r="F57" s="9">
        <f>IF(ISERROR(VLOOKUP($B57,DATEN!$A$3:$D$10,3,FALSE)),"",VLOOKUP($B57,DATEN!$A$3:$D$10,3,FALSE))</f>
        <v>0</v>
      </c>
      <c r="K57" s="265">
        <f t="shared" si="8"/>
        <v>0</v>
      </c>
      <c r="L57" s="265"/>
    </row>
    <row r="58" spans="1:14" x14ac:dyDescent="0.2">
      <c r="A58" s="12">
        <v>4</v>
      </c>
      <c r="B58" s="9">
        <f>VLOOKUP(A17,'Bestellung Commande'!A27:O65,14,FALSE)</f>
        <v>0</v>
      </c>
      <c r="C58" s="9"/>
      <c r="D58" s="252">
        <f>IF(ISERROR(VLOOKUP($B58,DATEN!$A$3:$D$10,2,FALSE)),"",VLOOKUP($B58,DATEN!$A$3:$D$10,2,FALSE))</f>
        <v>0</v>
      </c>
      <c r="E58" s="252"/>
      <c r="F58" s="9">
        <f>IF(ISERROR(VLOOKUP($B58,DATEN!$A$3:$D$10,3,FALSE)),"",VLOOKUP($B58,DATEN!$A$3:$D$10,3,FALSE))</f>
        <v>0</v>
      </c>
      <c r="K58" s="265">
        <f t="shared" si="8"/>
        <v>0</v>
      </c>
      <c r="L58" s="265"/>
      <c r="N58" s="46">
        <f>'Bestellung Commande'!B44</f>
        <v>0</v>
      </c>
    </row>
  </sheetData>
  <sheetProtection algorithmName="SHA-512" hashValue="dDQ4ModPMj09hje+pezm41kOy6/l2+t5MSVFjzMUvWutzy7P9T6bVg2fiA0Z8X77XnR3p/ifZWRY0Ww0Vnm2Jw==" saltValue="IPteIRSMZJ+JunT7hP8GvA==" spinCount="100000" sheet="1" objects="1" scenarios="1"/>
  <mergeCells count="52">
    <mergeCell ref="D57:E57"/>
    <mergeCell ref="K57:L57"/>
    <mergeCell ref="D58:E58"/>
    <mergeCell ref="K58:L58"/>
    <mergeCell ref="A53:L53"/>
    <mergeCell ref="D54:E54"/>
    <mergeCell ref="K54:L54"/>
    <mergeCell ref="D55:E55"/>
    <mergeCell ref="K55:L55"/>
    <mergeCell ref="D56:E56"/>
    <mergeCell ref="K56:L56"/>
    <mergeCell ref="A40:L40"/>
    <mergeCell ref="A13:B13"/>
    <mergeCell ref="D13:F13"/>
    <mergeCell ref="A14:B14"/>
    <mergeCell ref="D14:F14"/>
    <mergeCell ref="B16:C16"/>
    <mergeCell ref="I16:L16"/>
    <mergeCell ref="B17:C17"/>
    <mergeCell ref="A20:N20"/>
    <mergeCell ref="A24:N24"/>
    <mergeCell ref="A29:N29"/>
    <mergeCell ref="A34:N34"/>
    <mergeCell ref="A10:B10"/>
    <mergeCell ref="D10:F10"/>
    <mergeCell ref="G10:N11"/>
    <mergeCell ref="A11:F11"/>
    <mergeCell ref="A12:B12"/>
    <mergeCell ref="D12:F12"/>
    <mergeCell ref="A6:B6"/>
    <mergeCell ref="D6:F6"/>
    <mergeCell ref="G6:N6"/>
    <mergeCell ref="A7:F7"/>
    <mergeCell ref="G7:N9"/>
    <mergeCell ref="A8:B8"/>
    <mergeCell ref="D8:F8"/>
    <mergeCell ref="A9:B9"/>
    <mergeCell ref="D9:F9"/>
    <mergeCell ref="D4:F4"/>
    <mergeCell ref="G4:J4"/>
    <mergeCell ref="K4:N4"/>
    <mergeCell ref="A5:B5"/>
    <mergeCell ref="D5:F5"/>
    <mergeCell ref="G5:J5"/>
    <mergeCell ref="K5:N5"/>
    <mergeCell ref="A1:N1"/>
    <mergeCell ref="A2:F2"/>
    <mergeCell ref="G2:N2"/>
    <mergeCell ref="A3:B3"/>
    <mergeCell ref="D3:F3"/>
    <mergeCell ref="G3:J3"/>
    <mergeCell ref="K3:N3"/>
  </mergeCells>
  <printOptions horizontalCentered="1"/>
  <pageMargins left="0.27" right="0.31" top="0.74803149606299213" bottom="0.74803149606299213" header="0.31496062992125984" footer="0.31496062992125984"/>
  <pageSetup paperSize="9" scale="87" orientation="portrait" r:id="rId1"/>
  <headerFooter>
    <oddHeader>&amp;R&amp;G</oddHeader>
    <oddFooter>&amp;LDuckdatum: &amp;D
&amp;F&amp;R&amp;P/&amp;N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C43C157-2597-4E33-8BDD-9C187E08CA9F}">
          <x14:formula1>
            <xm:f>DATEN!$I$1:$J$1</xm:f>
          </x14:formula1>
          <xm:sqref>K3:N3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8F295-0D6C-4321-AEF9-51E8274F259C}">
  <sheetPr codeName="Tabelle22"/>
  <dimension ref="A1:X58"/>
  <sheetViews>
    <sheetView view="pageBreakPreview" zoomScaleNormal="120" zoomScaleSheetLayoutView="100" workbookViewId="0">
      <selection activeCell="A12" sqref="A12:B12"/>
    </sheetView>
  </sheetViews>
  <sheetFormatPr baseColWidth="10" defaultColWidth="11" defaultRowHeight="14.25" x14ac:dyDescent="0.2"/>
  <cols>
    <col min="1" max="3" width="8.875" customWidth="1"/>
    <col min="4" max="5" width="6.5" customWidth="1"/>
    <col min="6" max="6" width="10.625" customWidth="1"/>
    <col min="7" max="7" width="8.75" style="9" customWidth="1"/>
    <col min="8" max="8" width="8.875" style="9" customWidth="1"/>
    <col min="9" max="9" width="4.875" style="9" customWidth="1"/>
    <col min="10" max="10" width="8.75" customWidth="1"/>
    <col min="11" max="11" width="4.5" style="9" customWidth="1"/>
    <col min="12" max="13" width="4.5" customWidth="1"/>
    <col min="14" max="14" width="4.5" style="9" customWidth="1"/>
  </cols>
  <sheetData>
    <row r="1" spans="1:18" ht="23.25" x14ac:dyDescent="0.2">
      <c r="A1" s="238" t="s">
        <v>9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1:18" ht="15" x14ac:dyDescent="0.25">
      <c r="A2" s="253" t="s">
        <v>0</v>
      </c>
      <c r="B2" s="254"/>
      <c r="C2" s="254"/>
      <c r="D2" s="254"/>
      <c r="E2" s="254"/>
      <c r="F2" s="255"/>
      <c r="G2" s="161" t="s">
        <v>1</v>
      </c>
      <c r="H2" s="162"/>
      <c r="I2" s="162"/>
      <c r="J2" s="162"/>
      <c r="K2" s="162"/>
      <c r="L2" s="162"/>
      <c r="M2" s="162"/>
      <c r="N2" s="162"/>
    </row>
    <row r="3" spans="1:18" ht="15" x14ac:dyDescent="0.25">
      <c r="A3" s="165" t="str">
        <f>VLOOKUP(DATEN!I2,DATEN!$I$1:$J$39,IF($K$3="Deutsch", 1, 2),FALSE)</f>
        <v>Kunde Name:</v>
      </c>
      <c r="B3" s="167"/>
      <c r="C3" s="11"/>
      <c r="D3" s="212">
        <f>'Bestellung Commande'!C2</f>
        <v>0</v>
      </c>
      <c r="E3" s="212"/>
      <c r="F3" s="212"/>
      <c r="G3" s="256" t="s">
        <v>2</v>
      </c>
      <c r="H3" s="257"/>
      <c r="I3" s="257"/>
      <c r="J3" s="258"/>
      <c r="K3" s="259" t="s">
        <v>3</v>
      </c>
      <c r="L3" s="260"/>
      <c r="M3" s="260"/>
      <c r="N3" s="261"/>
    </row>
    <row r="4" spans="1:18" ht="15" x14ac:dyDescent="0.25">
      <c r="A4" s="10" t="str">
        <f>VLOOKUP(DATEN!I3,DATEN!$I$1:$J$39,IF($K$3="Deutsch", 1, 2),FALSE)</f>
        <v>Kontaktperson:</v>
      </c>
      <c r="B4" s="11"/>
      <c r="C4" s="11"/>
      <c r="D4" s="212">
        <f>'Bestellung Commande'!C3</f>
        <v>0</v>
      </c>
      <c r="E4" s="212"/>
      <c r="F4" s="212"/>
      <c r="G4" s="256" t="str">
        <f>VLOOKUP(DATEN!I9,DATEN!$I$1:$J$39,IF($K$3="Deutsch", 1, 2),FALSE)</f>
        <v>Bestelldatum:</v>
      </c>
      <c r="H4" s="257"/>
      <c r="I4" s="257"/>
      <c r="J4" s="258"/>
      <c r="K4" s="263">
        <f>'Bestellung Commande'!L3</f>
        <v>0</v>
      </c>
      <c r="L4" s="260"/>
      <c r="M4" s="260"/>
      <c r="N4" s="261"/>
    </row>
    <row r="5" spans="1:18" ht="15" x14ac:dyDescent="0.25">
      <c r="A5" s="165" t="str">
        <f>VLOOKUP(DATEN!I4,DATEN!$I$1:$J$39,IF($K$3="Deutsch", 1, 2),FALSE)</f>
        <v>Kommision:</v>
      </c>
      <c r="B5" s="167"/>
      <c r="C5" s="11"/>
      <c r="D5" s="212">
        <f>'Bestellung Commande'!C4</f>
        <v>0</v>
      </c>
      <c r="E5" s="212"/>
      <c r="F5" s="212"/>
      <c r="G5" s="256" t="str">
        <f>VLOOKUP(DATEN!I10,DATEN!$I$1:$J$39,IF($K$3="Deutsch", 1, 2),FALSE)</f>
        <v>Wunsch Liefertermin:</v>
      </c>
      <c r="H5" s="257"/>
      <c r="I5" s="257"/>
      <c r="J5" s="258"/>
      <c r="K5" s="263">
        <f>'Bestellung Commande'!L4</f>
        <v>0</v>
      </c>
      <c r="L5" s="260"/>
      <c r="M5" s="260"/>
      <c r="N5" s="261"/>
    </row>
    <row r="6" spans="1:18" ht="15" x14ac:dyDescent="0.25">
      <c r="A6" s="165" t="str">
        <f>VLOOKUP(DATEN!I5,DATEN!$I$1:$J$39,IF($K$3="Deutsch", 1, 2),FALSE)</f>
        <v>Kontakt Telefon:</v>
      </c>
      <c r="B6" s="167"/>
      <c r="C6" s="11"/>
      <c r="D6" s="212">
        <f>'Bestellung Commande'!C5</f>
        <v>0</v>
      </c>
      <c r="E6" s="212"/>
      <c r="F6" s="212"/>
      <c r="G6" s="163" t="str">
        <f>VLOOKUP(DATEN!I11,DATEN!$I$1:$J$39,IF($K$3="Deutsch", 1, 2),FALSE)</f>
        <v>Bemerkung:</v>
      </c>
      <c r="H6" s="164"/>
      <c r="I6" s="164"/>
      <c r="J6" s="164"/>
      <c r="K6" s="164"/>
      <c r="L6" s="164"/>
      <c r="M6" s="164"/>
      <c r="N6" s="164"/>
    </row>
    <row r="7" spans="1:18" ht="15" x14ac:dyDescent="0.25">
      <c r="A7" s="264" t="s">
        <v>4</v>
      </c>
      <c r="B7" s="264"/>
      <c r="C7" s="264"/>
      <c r="D7" s="264"/>
      <c r="E7" s="264"/>
      <c r="F7" s="264"/>
      <c r="G7" s="225" t="str">
        <f>VLOOKUP(DATEN!I11,DATEN!$I$1:$J$39,IF($K$3="Deutsch", 1, 2),FALSE)</f>
        <v>Bemerkung:</v>
      </c>
      <c r="H7" s="225"/>
      <c r="I7" s="225"/>
      <c r="J7" s="225"/>
      <c r="K7" s="225"/>
      <c r="L7" s="225"/>
      <c r="M7" s="225"/>
      <c r="N7" s="225"/>
    </row>
    <row r="8" spans="1:18" ht="15" x14ac:dyDescent="0.25">
      <c r="A8" s="165" t="str">
        <f>VLOOKUP(DATEN!I6,DATEN!$I$1:$J$39,IF($K$3="Deutsch", 1, 2),FALSE)</f>
        <v>Strasse:</v>
      </c>
      <c r="B8" s="167"/>
      <c r="C8" s="11"/>
      <c r="D8" s="212">
        <f>'Bestellung Commande'!C8</f>
        <v>0</v>
      </c>
      <c r="E8" s="212"/>
      <c r="F8" s="212"/>
      <c r="G8" s="225"/>
      <c r="H8" s="225"/>
      <c r="I8" s="225"/>
      <c r="J8" s="225"/>
      <c r="K8" s="225"/>
      <c r="L8" s="225"/>
      <c r="M8" s="225"/>
      <c r="N8" s="225"/>
    </row>
    <row r="9" spans="1:18" ht="15" x14ac:dyDescent="0.25">
      <c r="A9" s="165" t="str">
        <f>VLOOKUP(DATEN!I7,DATEN!$I$1:$J$39,IF($K$3="Deutsch", 1, 2),FALSE)</f>
        <v>PLZ Ort:</v>
      </c>
      <c r="B9" s="167"/>
      <c r="C9" s="11"/>
      <c r="D9" s="212">
        <f>'Bestellung Commande'!C9</f>
        <v>0</v>
      </c>
      <c r="E9" s="212"/>
      <c r="F9" s="212"/>
      <c r="G9" s="225"/>
      <c r="H9" s="225"/>
      <c r="I9" s="225"/>
      <c r="J9" s="225"/>
      <c r="K9" s="225"/>
      <c r="L9" s="225"/>
      <c r="M9" s="225"/>
      <c r="N9" s="225"/>
    </row>
    <row r="10" spans="1:18" ht="15" customHeight="1" x14ac:dyDescent="0.25">
      <c r="A10" s="165" t="str">
        <f>VLOOKUP(DATEN!I8,DATEN!$I$1:$J$39,IF($K$3="Deutsch", 1, 2),FALSE)</f>
        <v>Kontakt:</v>
      </c>
      <c r="B10" s="167"/>
      <c r="C10" s="11"/>
      <c r="D10" s="212">
        <f>'Bestellung Commande'!C10</f>
        <v>0</v>
      </c>
      <c r="E10" s="212"/>
      <c r="F10" s="212"/>
      <c r="G10" s="262" t="str">
        <f>IF(VLOOKUP($A$17,'Bestellung Commande'!$A$27:$O$65,10,FALSE)&lt;&gt;"","Sonderbau!!!","")</f>
        <v/>
      </c>
      <c r="H10" s="262"/>
      <c r="I10" s="262"/>
      <c r="J10" s="262"/>
      <c r="K10" s="262"/>
      <c r="L10" s="262"/>
      <c r="M10" s="262"/>
      <c r="N10" s="262"/>
    </row>
    <row r="11" spans="1:18" ht="15" customHeight="1" x14ac:dyDescent="0.25">
      <c r="A11" s="264" t="s">
        <v>5</v>
      </c>
      <c r="B11" s="264"/>
      <c r="C11" s="264"/>
      <c r="D11" s="264"/>
      <c r="E11" s="264"/>
      <c r="F11" s="264"/>
      <c r="G11" s="262"/>
      <c r="H11" s="262"/>
      <c r="I11" s="262"/>
      <c r="J11" s="262"/>
      <c r="K11" s="262"/>
      <c r="L11" s="262"/>
      <c r="M11" s="262"/>
      <c r="N11" s="262"/>
    </row>
    <row r="12" spans="1:18" ht="15" customHeight="1" x14ac:dyDescent="0.4">
      <c r="A12" s="165" t="str">
        <f>VLOOKUP(DATEN!I6,DATEN!$I$1:$J$39,IF($K$3="Deutsch", 1, 2),FALSE)</f>
        <v>Strasse:</v>
      </c>
      <c r="B12" s="167"/>
      <c r="C12" s="11"/>
      <c r="D12" s="212">
        <f>'Bestellung Commande'!C12</f>
        <v>0</v>
      </c>
      <c r="E12" s="212"/>
      <c r="F12" s="212"/>
      <c r="G12" s="146"/>
      <c r="H12" s="146"/>
      <c r="I12" s="146"/>
      <c r="J12" s="146"/>
      <c r="K12" s="146"/>
      <c r="L12" s="146"/>
      <c r="M12" s="146"/>
      <c r="N12" s="146"/>
    </row>
    <row r="13" spans="1:18" ht="15" customHeight="1" x14ac:dyDescent="0.4">
      <c r="A13" s="165" t="str">
        <f>VLOOKUP(DATEN!I7,DATEN!$I$1:$J$39,IF($K$3="Deutsch", 1, 2),FALSE)</f>
        <v>PLZ Ort:</v>
      </c>
      <c r="B13" s="167"/>
      <c r="C13" s="11"/>
      <c r="D13" s="212">
        <f>'Bestellung Commande'!C13</f>
        <v>0</v>
      </c>
      <c r="E13" s="212"/>
      <c r="F13" s="212"/>
      <c r="G13" s="146"/>
      <c r="H13" s="146"/>
      <c r="I13" s="146"/>
      <c r="J13" s="146"/>
      <c r="K13" s="146"/>
      <c r="L13" s="146"/>
      <c r="M13" s="146"/>
      <c r="N13" s="146"/>
    </row>
    <row r="14" spans="1:18" ht="15" customHeight="1" x14ac:dyDescent="0.4">
      <c r="A14" s="165" t="str">
        <f>VLOOKUP(DATEN!I8,DATEN!$I$1:$J$39,IF($K$3="Deutsch", 1, 2),FALSE)</f>
        <v>Kontakt:</v>
      </c>
      <c r="B14" s="167"/>
      <c r="C14" s="11"/>
      <c r="D14" s="212">
        <f>'Bestellung Commande'!C14</f>
        <v>0</v>
      </c>
      <c r="E14" s="212"/>
      <c r="F14" s="212"/>
      <c r="G14" s="146"/>
      <c r="H14" s="146"/>
      <c r="I14" s="146"/>
      <c r="J14" s="146"/>
      <c r="K14" s="146"/>
      <c r="L14" s="146"/>
      <c r="M14" s="146"/>
      <c r="N14" s="146"/>
    </row>
    <row r="15" spans="1:18" ht="15.75" thickBot="1" x14ac:dyDescent="0.3">
      <c r="A15" s="140" t="str">
        <f>'Bestellung Commande'!A67</f>
        <v>V9.5</v>
      </c>
      <c r="B15" s="14"/>
      <c r="C15" s="14"/>
      <c r="D15" s="15"/>
      <c r="E15" s="15"/>
      <c r="F15" s="15"/>
      <c r="G15" s="13"/>
      <c r="H15" s="13"/>
      <c r="I15" s="13"/>
      <c r="J15" s="13"/>
      <c r="K15" s="13"/>
      <c r="L15" s="13"/>
      <c r="M15" s="16">
        <f>'Bestellung Commande'!N24</f>
        <v>73</v>
      </c>
      <c r="N15" s="13"/>
      <c r="O15" s="20" t="s">
        <v>220</v>
      </c>
      <c r="P15" s="9"/>
      <c r="Q15" s="9"/>
      <c r="R15" s="9"/>
    </row>
    <row r="16" spans="1:18" s="19" customFormat="1" ht="28.5" customHeight="1" x14ac:dyDescent="0.2">
      <c r="A16" s="17" t="s">
        <v>216</v>
      </c>
      <c r="B16" s="176" t="str">
        <f>VLOOKUP(DATEN!I14,DATEN!$I$1:$J$39,IF($K$3="Deutsch", 1, 2),FALSE)</f>
        <v>Anz.
Flügel</v>
      </c>
      <c r="C16" s="176"/>
      <c r="D16" s="17" t="str">
        <f>VLOOKUP(DATEN!I15,DATEN!$I$1:$J$39,IF($K$3="Deutsch", 1, 2),FALSE)</f>
        <v>Stk Schw.</v>
      </c>
      <c r="E16" s="17" t="str">
        <f>VLOOKUP(DATEN!I16,DATEN!$I$1:$J$39,IF($K$3="Deutsch", 1, 2),FALSE)</f>
        <v>RA</v>
      </c>
      <c r="F16" s="17" t="str">
        <f>VLOOKUP(DATEN!I17,DATEN!$I$1:$J$39,IF($K$3="Deutsch", 1, 2),FALSE)</f>
        <v>RBL 
(min45)</v>
      </c>
      <c r="G16" s="17" t="str">
        <f>VLOOKUP(DATEN!I18,DATEN!$I$1:$J$39,IF($K$3="Deutsch", 1, 2),FALSE)</f>
        <v>RBR 
(min45)</v>
      </c>
      <c r="H16" s="17"/>
      <c r="I16" s="184" t="str">
        <f>VLOOKUP(DATEN!I19,DATEN!$I$1:$J$39,IF($K$3="Deutsch", 1, 2),FALSE)</f>
        <v>Verbreiterungen</v>
      </c>
      <c r="J16" s="185"/>
      <c r="K16" s="185"/>
      <c r="L16" s="185"/>
      <c r="M16" s="18" t="str">
        <f>VLOOKUP(DATEN!I20,DATEN!$I$1:$J$39,IF($K$3="Deutsch",1,2),FALSE)</f>
        <v>Total</v>
      </c>
      <c r="N16" s="17"/>
      <c r="O16" s="20" t="str">
        <f>E25</f>
        <v>Profil</v>
      </c>
      <c r="P16" s="20" t="str">
        <f>A26</f>
        <v>Links</v>
      </c>
      <c r="Q16" s="20" t="str">
        <f>A27</f>
        <v>Rechts</v>
      </c>
      <c r="R16" s="20" t="str">
        <f>A28</f>
        <v>Mittelteil</v>
      </c>
    </row>
    <row r="17" spans="1:24" ht="15" thickBot="1" x14ac:dyDescent="0.25">
      <c r="A17" s="41">
        <v>19</v>
      </c>
      <c r="B17" s="268">
        <f>VLOOKUP($A$17,'Bestellung Commande'!$A$27:$O$65,3,FALSE)</f>
        <v>0</v>
      </c>
      <c r="C17" s="268"/>
      <c r="D17" s="41">
        <f>VLOOKUP($A$17,'Bestellung Commande'!$A$27:$O$65,5,FALSE)</f>
        <v>0</v>
      </c>
      <c r="E17" s="41">
        <f>VLOOKUP($A$17,'Bestellung Commande'!$A$27:$O$65,6,FALSE)</f>
        <v>0</v>
      </c>
      <c r="F17" s="41">
        <f>VLOOKUP($A$17,'Bestellung Commande'!$A$27:$O$65,7,FALSE)</f>
        <v>0</v>
      </c>
      <c r="G17" s="41">
        <f>VLOOKUP($A$17,'Bestellung Commande'!$A$27:$O$65,8,FALSE)</f>
        <v>0</v>
      </c>
      <c r="H17" s="41">
        <f>VLOOKUP($A$17,'Bestellung Commande'!$A$27:$O$65,9,FALSE)</f>
        <v>0</v>
      </c>
      <c r="I17" s="22">
        <f>VLOOKUP($A$17,'Bestellung Commande'!$A$27:$O$65,10,FALSE)</f>
        <v>0</v>
      </c>
      <c r="J17" s="23">
        <f>VLOOKUP($A$17,'Bestellung Commande'!$A$27:$O$65,11,FALSE)</f>
        <v>0</v>
      </c>
      <c r="K17" s="23">
        <f>VLOOKUP($A$17,'Bestellung Commande'!$A$27:$O$65,12,FALSE)</f>
        <v>0</v>
      </c>
      <c r="L17" s="23">
        <f>VLOOKUP($A$17,'Bestellung Commande'!$A$27:$O$65,13,FALSE)</f>
        <v>0</v>
      </c>
      <c r="M17" s="125">
        <f>VLOOKUP($A$17,'Bestellung Commande'!$A$27:$O$65,14,FALSE)</f>
        <v>0</v>
      </c>
      <c r="N17" s="24"/>
      <c r="O17" s="9" t="str">
        <f>F25</f>
        <v>C298927</v>
      </c>
      <c r="P17" s="29">
        <f>F26</f>
        <v>20</v>
      </c>
      <c r="Q17" s="29">
        <f>F27</f>
        <v>20</v>
      </c>
      <c r="R17" s="29">
        <f>F28</f>
        <v>-42</v>
      </c>
    </row>
    <row r="18" spans="1:24" x14ac:dyDescent="0.2">
      <c r="B18" s="41" cm="1">
        <f t="array" ref="B18">INDEX('Bestellung Commande'!$C$27:$C$66, MATCH($A$17, 'Bestellung Commande'!$A$27:$A$66, 0) + 1)</f>
        <v>0</v>
      </c>
      <c r="C18" s="41" cm="1">
        <f t="array" ref="C18">INDEX('Bestellung Commande'!$D$27:$D$66, MATCH($A$17, 'Bestellung Commande'!$A$27:$A$66, 0) + 1)</f>
        <v>0</v>
      </c>
    </row>
    <row r="20" spans="1:24" ht="15" x14ac:dyDescent="0.25">
      <c r="A20" s="267" t="s">
        <v>10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</row>
    <row r="21" spans="1:24" ht="15" x14ac:dyDescent="0.25">
      <c r="E21" s="25" t="s">
        <v>11</v>
      </c>
      <c r="F21" s="9" t="s">
        <v>12</v>
      </c>
      <c r="G21"/>
      <c r="H21"/>
      <c r="I21"/>
    </row>
    <row r="22" spans="1:24" x14ac:dyDescent="0.2">
      <c r="E22" t="s">
        <v>13</v>
      </c>
      <c r="F22" s="26">
        <f>E17</f>
        <v>0</v>
      </c>
      <c r="G22"/>
      <c r="H22"/>
      <c r="I22"/>
    </row>
    <row r="23" spans="1:24" x14ac:dyDescent="0.2">
      <c r="F23" s="9">
        <f>B17</f>
        <v>0</v>
      </c>
      <c r="G23"/>
      <c r="H23"/>
      <c r="I23"/>
    </row>
    <row r="24" spans="1:24" ht="15" x14ac:dyDescent="0.25">
      <c r="A24" s="267" t="s">
        <v>14</v>
      </c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</row>
    <row r="25" spans="1:24" ht="15" x14ac:dyDescent="0.25">
      <c r="E25" s="25" t="s">
        <v>11</v>
      </c>
      <c r="F25" s="9" t="s">
        <v>15</v>
      </c>
      <c r="G25"/>
      <c r="H25"/>
      <c r="I25"/>
    </row>
    <row r="26" spans="1:24" x14ac:dyDescent="0.2">
      <c r="A26" t="s">
        <v>16</v>
      </c>
      <c r="E26" t="s">
        <v>13</v>
      </c>
      <c r="F26" s="26">
        <f>F17+20</f>
        <v>20</v>
      </c>
      <c r="G26"/>
      <c r="H26"/>
      <c r="I26"/>
      <c r="W26" s="121" t="s">
        <v>208</v>
      </c>
      <c r="X26" s="122">
        <f>F37-F36</f>
        <v>-100</v>
      </c>
    </row>
    <row r="27" spans="1:24" x14ac:dyDescent="0.2">
      <c r="A27" t="s">
        <v>17</v>
      </c>
      <c r="E27" t="s">
        <v>13</v>
      </c>
      <c r="F27" s="26">
        <f>G17+20</f>
        <v>20</v>
      </c>
      <c r="G27"/>
      <c r="H27"/>
      <c r="I27"/>
      <c r="W27" t="s">
        <v>209</v>
      </c>
      <c r="X27">
        <f>[1]DATEN!D14</f>
        <v>300</v>
      </c>
    </row>
    <row r="28" spans="1:24" x14ac:dyDescent="0.2">
      <c r="A28" t="s">
        <v>18</v>
      </c>
      <c r="E28" t="s">
        <v>13</v>
      </c>
      <c r="F28" s="26">
        <f>(E17-(F26+F27))-2</f>
        <v>-42</v>
      </c>
      <c r="G28"/>
      <c r="H28"/>
      <c r="I28"/>
      <c r="P28" t="s">
        <v>293</v>
      </c>
      <c r="T28" t="s">
        <v>294</v>
      </c>
      <c r="W28" t="s">
        <v>210</v>
      </c>
      <c r="X28">
        <f>ROUNDUP(X26/X27,0)</f>
        <v>-1</v>
      </c>
    </row>
    <row r="29" spans="1:24" ht="15" x14ac:dyDescent="0.25">
      <c r="A29" s="267" t="s">
        <v>19</v>
      </c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7" t="str">
        <f t="shared" ref="O29:O39" si="0">IF(AND($F$32&gt;=Q29,$F$32&lt;R29),P29,"")</f>
        <v/>
      </c>
      <c r="P29" s="28" t="str">
        <f>" "</f>
        <v xml:space="preserve"> </v>
      </c>
      <c r="Q29" s="28">
        <v>-1000000</v>
      </c>
      <c r="R29" s="28">
        <v>0</v>
      </c>
      <c r="S29" s="27" t="str">
        <f t="shared" ref="S29:S39" si="1">IF(AND($G$32&gt;=U29,$G$32&lt;V29),T29,"")</f>
        <v/>
      </c>
      <c r="T29" s="28" t="str">
        <f t="shared" ref="T29:T30" si="2">P29</f>
        <v xml:space="preserve"> </v>
      </c>
      <c r="U29" s="28">
        <f t="shared" ref="U29:U30" si="3">Q29</f>
        <v>-1000000</v>
      </c>
      <c r="V29" s="28">
        <f t="shared" ref="V29:V30" si="4">R29</f>
        <v>0</v>
      </c>
      <c r="W29" t="s">
        <v>211</v>
      </c>
      <c r="X29">
        <f>X26/X28</f>
        <v>100</v>
      </c>
    </row>
    <row r="30" spans="1:24" ht="15" x14ac:dyDescent="0.25">
      <c r="F30" s="25" t="s">
        <v>293</v>
      </c>
      <c r="G30" s="25" t="s">
        <v>294</v>
      </c>
      <c r="H30"/>
      <c r="I30"/>
      <c r="K30"/>
      <c r="N30"/>
      <c r="O30" s="27" t="str">
        <f t="shared" si="0"/>
        <v/>
      </c>
      <c r="P30" s="28"/>
      <c r="Q30" s="28">
        <v>0.1</v>
      </c>
      <c r="R30" s="28">
        <v>247.9</v>
      </c>
      <c r="S30" s="27" t="str">
        <f t="shared" si="1"/>
        <v/>
      </c>
      <c r="T30" s="28">
        <f t="shared" si="2"/>
        <v>0</v>
      </c>
      <c r="U30" s="28">
        <f t="shared" si="3"/>
        <v>0.1</v>
      </c>
      <c r="V30" s="28">
        <f t="shared" si="4"/>
        <v>247.9</v>
      </c>
    </row>
    <row r="31" spans="1:24" x14ac:dyDescent="0.2">
      <c r="F31" s="9" t="str">
        <f>O29&amp;O31&amp;O32&amp;O33&amp;O34&amp;O35&amp;O36&amp;O37&amp;O38&amp;O39</f>
        <v/>
      </c>
      <c r="G31" s="9" t="str">
        <f>S29&amp;S31&amp;S32&amp;S33&amp;S34&amp;S35&amp;S36&amp;S37&amp;S38&amp;S39</f>
        <v/>
      </c>
      <c r="I31"/>
      <c r="O31" s="27" t="str">
        <f t="shared" si="0"/>
        <v/>
      </c>
      <c r="P31" s="28" t="str">
        <f>DATEN!M7</f>
        <v>C555366</v>
      </c>
      <c r="Q31" s="28">
        <f>DATEN!N7</f>
        <v>275</v>
      </c>
      <c r="R31" s="28">
        <f>DATEN!O7</f>
        <v>400</v>
      </c>
      <c r="S31" s="27" t="str">
        <f t="shared" si="1"/>
        <v/>
      </c>
      <c r="T31" s="28" t="str">
        <f>P31</f>
        <v>C555366</v>
      </c>
      <c r="U31" s="28">
        <f t="shared" ref="U31:V39" si="5">Q31</f>
        <v>275</v>
      </c>
      <c r="V31" s="28">
        <f t="shared" si="5"/>
        <v>400</v>
      </c>
      <c r="W31">
        <v>1</v>
      </c>
      <c r="X31" s="29">
        <f>F36</f>
        <v>50</v>
      </c>
    </row>
    <row r="32" spans="1:24" x14ac:dyDescent="0.2">
      <c r="A32" t="s">
        <v>13</v>
      </c>
      <c r="F32" s="26" t="b">
        <f>IF(AND(B17=1,B18=0),H17,IF(AND(B17=1,B18&gt;0),B18,IF(AND(B17=2,B18=0),(H17-20)/2,IF(AND(B17=2,B18&gt;0),B18))))</f>
        <v>0</v>
      </c>
      <c r="G32" s="26">
        <f>IF(B17=1,0,IF(AND(B17=2,C18=0),0,C18))</f>
        <v>0</v>
      </c>
      <c r="I32"/>
      <c r="O32" s="27" t="str">
        <f t="shared" si="0"/>
        <v/>
      </c>
      <c r="P32" s="28" t="str">
        <f>DATEN!M8</f>
        <v>C555367</v>
      </c>
      <c r="Q32" s="28">
        <f>DATEN!N8</f>
        <v>400</v>
      </c>
      <c r="R32" s="28">
        <f>DATEN!O8</f>
        <v>550</v>
      </c>
      <c r="S32" s="27" t="str">
        <f t="shared" si="1"/>
        <v/>
      </c>
      <c r="T32" s="28" t="str">
        <f t="shared" ref="T32:T39" si="6">P32</f>
        <v>C555367</v>
      </c>
      <c r="U32" s="28">
        <f t="shared" si="5"/>
        <v>400</v>
      </c>
      <c r="V32" s="28">
        <f t="shared" si="5"/>
        <v>550</v>
      </c>
      <c r="W32">
        <v>2</v>
      </c>
      <c r="X32" s="29">
        <f>ROUND(IF(W32-1&gt;$X$28,0,X31+$X$29),0)</f>
        <v>0</v>
      </c>
    </row>
    <row r="33" spans="1:24" x14ac:dyDescent="0.2">
      <c r="A33" t="s">
        <v>23</v>
      </c>
      <c r="F33" s="30">
        <f>IF(AND(B17=2,B18=0),B17,1)*D17</f>
        <v>0</v>
      </c>
      <c r="G33" s="30">
        <f>IF(G32&gt;0,1,0)*D17</f>
        <v>0</v>
      </c>
      <c r="I33"/>
      <c r="O33" s="27" t="str">
        <f t="shared" si="0"/>
        <v/>
      </c>
      <c r="P33" s="28" t="str">
        <f>DATEN!M9</f>
        <v>C555368</v>
      </c>
      <c r="Q33" s="28">
        <f>DATEN!N9</f>
        <v>550</v>
      </c>
      <c r="R33" s="28">
        <f>DATEN!O9</f>
        <v>700</v>
      </c>
      <c r="S33" s="27" t="str">
        <f t="shared" si="1"/>
        <v/>
      </c>
      <c r="T33" s="28" t="str">
        <f t="shared" si="6"/>
        <v>C555368</v>
      </c>
      <c r="U33" s="28">
        <f t="shared" si="5"/>
        <v>550</v>
      </c>
      <c r="V33" s="28">
        <f t="shared" si="5"/>
        <v>700</v>
      </c>
      <c r="W33">
        <v>3</v>
      </c>
      <c r="X33" s="29">
        <f t="shared" ref="X33:X40" si="7">ROUND(IF(W33-1&gt;$X$28,0,X32+$X$29),0)</f>
        <v>0</v>
      </c>
    </row>
    <row r="34" spans="1:24" ht="15" x14ac:dyDescent="0.25">
      <c r="A34" s="267" t="s">
        <v>25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7" t="str">
        <f>IF(AND($F$32&gt;=Q34,$F$32&lt;R34),P34,"")</f>
        <v/>
      </c>
      <c r="P34" s="28" t="str">
        <f>DATEN!M10</f>
        <v>C555369</v>
      </c>
      <c r="Q34" s="28">
        <f>DATEN!N10</f>
        <v>700</v>
      </c>
      <c r="R34" s="28">
        <f>DATEN!O10</f>
        <v>850</v>
      </c>
      <c r="S34" s="27" t="str">
        <f t="shared" si="1"/>
        <v/>
      </c>
      <c r="T34" s="28" t="str">
        <f t="shared" si="6"/>
        <v>C555369</v>
      </c>
      <c r="U34" s="28">
        <f t="shared" si="5"/>
        <v>700</v>
      </c>
      <c r="V34" s="28">
        <f t="shared" si="5"/>
        <v>850</v>
      </c>
      <c r="W34">
        <v>4</v>
      </c>
      <c r="X34" s="29">
        <f t="shared" si="7"/>
        <v>0</v>
      </c>
    </row>
    <row r="35" spans="1:24" ht="15" x14ac:dyDescent="0.25">
      <c r="A35" s="31" t="s">
        <v>27</v>
      </c>
      <c r="F35" s="9" t="s">
        <v>28</v>
      </c>
      <c r="G35" s="32" t="s">
        <v>29</v>
      </c>
      <c r="H35" s="32"/>
      <c r="I35"/>
      <c r="O35" s="27" t="str">
        <f t="shared" si="0"/>
        <v/>
      </c>
      <c r="P35" s="28" t="str">
        <f>DATEN!M11</f>
        <v>C555370</v>
      </c>
      <c r="Q35" s="28">
        <f>DATEN!N11</f>
        <v>850</v>
      </c>
      <c r="R35" s="28">
        <f>DATEN!O11</f>
        <v>1000</v>
      </c>
      <c r="S35" s="27" t="str">
        <f>IF(AND($G$32&gt;=U35,$G$32&lt;V35),T35,"")</f>
        <v/>
      </c>
      <c r="T35" s="28" t="str">
        <f t="shared" si="6"/>
        <v>C555370</v>
      </c>
      <c r="U35" s="28">
        <f t="shared" si="5"/>
        <v>850</v>
      </c>
      <c r="V35" s="28">
        <f t="shared" si="5"/>
        <v>1000</v>
      </c>
      <c r="W35">
        <v>5</v>
      </c>
      <c r="X35" s="29">
        <f t="shared" si="7"/>
        <v>0</v>
      </c>
    </row>
    <row r="36" spans="1:24" x14ac:dyDescent="0.2">
      <c r="A36" t="s">
        <v>31</v>
      </c>
      <c r="F36" s="26">
        <f>F17+50</f>
        <v>50</v>
      </c>
      <c r="G36"/>
      <c r="H36" t="s">
        <v>206</v>
      </c>
      <c r="I36"/>
      <c r="O36" s="27" t="str">
        <f t="shared" si="0"/>
        <v/>
      </c>
      <c r="P36" s="28" t="str">
        <f>DATEN!M12</f>
        <v>C555371</v>
      </c>
      <c r="Q36" s="28">
        <f>DATEN!N12</f>
        <v>1000</v>
      </c>
      <c r="R36" s="28">
        <f>DATEN!O12</f>
        <v>1150</v>
      </c>
      <c r="S36" s="27" t="str">
        <f t="shared" si="1"/>
        <v/>
      </c>
      <c r="T36" s="28" t="str">
        <f t="shared" si="6"/>
        <v>C555371</v>
      </c>
      <c r="U36" s="28">
        <f t="shared" si="5"/>
        <v>1000</v>
      </c>
      <c r="V36" s="28">
        <f t="shared" si="5"/>
        <v>1150</v>
      </c>
      <c r="W36">
        <v>6</v>
      </c>
      <c r="X36" s="29">
        <f t="shared" si="7"/>
        <v>0</v>
      </c>
    </row>
    <row r="37" spans="1:24" x14ac:dyDescent="0.2">
      <c r="A37" t="s">
        <v>33</v>
      </c>
      <c r="F37" s="26">
        <f>F17+H17-DATEN!$D$13</f>
        <v>-50</v>
      </c>
      <c r="H37" t="s">
        <v>36</v>
      </c>
      <c r="I37"/>
      <c r="J37" s="9">
        <f>X28+1</f>
        <v>0</v>
      </c>
      <c r="O37" s="27" t="str">
        <f t="shared" si="0"/>
        <v/>
      </c>
      <c r="P37" s="28" t="str">
        <f>DATEN!M13</f>
        <v>C555372</v>
      </c>
      <c r="Q37" s="28">
        <f>DATEN!N13</f>
        <v>1150</v>
      </c>
      <c r="R37" s="28">
        <f>DATEN!O13</f>
        <v>1300</v>
      </c>
      <c r="S37" s="27" t="str">
        <f t="shared" si="1"/>
        <v/>
      </c>
      <c r="T37" s="28" t="str">
        <f t="shared" si="6"/>
        <v>C555372</v>
      </c>
      <c r="U37" s="28">
        <f t="shared" si="5"/>
        <v>1150</v>
      </c>
      <c r="V37" s="28">
        <f t="shared" si="5"/>
        <v>1300</v>
      </c>
      <c r="W37">
        <v>7</v>
      </c>
      <c r="X37" s="29">
        <f t="shared" si="7"/>
        <v>0</v>
      </c>
    </row>
    <row r="38" spans="1:24" x14ac:dyDescent="0.2">
      <c r="A38" s="33" t="s">
        <v>35</v>
      </c>
      <c r="F38" s="123" t="str">
        <f>X31&amp;IF(X32="",""," / ")&amp;X32  &amp; IF(X33="",""," / ")&amp;X33&amp; IF(X34="",""," / ")&amp;X34&amp; IF(X35="",""," / ")&amp;X35&amp; IF(X36="",""," / ")&amp;X36&amp; IF(X37="",""," / ")&amp;X37&amp; IF(X38="",""," / ")&amp;X38&amp; IF(X39="",""," / ")&amp;X39&amp; IF(X40="",""," / ")&amp;X40</f>
        <v>50 / 0 / 0 / 0 / 0 / 0 / 0 / 0 / 0 / 0</v>
      </c>
      <c r="O38" s="27" t="str">
        <f t="shared" si="0"/>
        <v/>
      </c>
      <c r="P38" s="28" t="str">
        <f>DATEN!M14</f>
        <v>C555373</v>
      </c>
      <c r="Q38" s="28">
        <f>DATEN!N14</f>
        <v>1300</v>
      </c>
      <c r="R38" s="28">
        <f>DATEN!O14</f>
        <v>1450</v>
      </c>
      <c r="S38" s="27" t="str">
        <f t="shared" si="1"/>
        <v/>
      </c>
      <c r="T38" s="28" t="str">
        <f t="shared" si="6"/>
        <v>C555373</v>
      </c>
      <c r="U38" s="28">
        <f t="shared" si="5"/>
        <v>1300</v>
      </c>
      <c r="V38" s="28">
        <f t="shared" si="5"/>
        <v>1450</v>
      </c>
      <c r="W38">
        <v>8</v>
      </c>
      <c r="X38" s="29">
        <f t="shared" si="7"/>
        <v>0</v>
      </c>
    </row>
    <row r="39" spans="1:24" x14ac:dyDescent="0.2">
      <c r="F39" s="9"/>
      <c r="G39"/>
      <c r="H39"/>
      <c r="I39"/>
      <c r="O39" s="27" t="str">
        <f t="shared" si="0"/>
        <v/>
      </c>
      <c r="P39" s="28" t="str">
        <f>DATEN!M15</f>
        <v>Zu Lang</v>
      </c>
      <c r="Q39" s="28">
        <f>DATEN!N15</f>
        <v>1450.1</v>
      </c>
      <c r="R39" s="28">
        <f>DATEN!O15</f>
        <v>1000000</v>
      </c>
      <c r="S39" s="27" t="str">
        <f t="shared" si="1"/>
        <v/>
      </c>
      <c r="T39" s="28" t="str">
        <f t="shared" si="6"/>
        <v>Zu Lang</v>
      </c>
      <c r="U39" s="28">
        <f t="shared" si="5"/>
        <v>1450.1</v>
      </c>
      <c r="V39" s="28">
        <f t="shared" si="5"/>
        <v>1000000</v>
      </c>
      <c r="W39">
        <v>9</v>
      </c>
      <c r="X39" s="29">
        <f t="shared" si="7"/>
        <v>0</v>
      </c>
    </row>
    <row r="40" spans="1:24" ht="15" x14ac:dyDescent="0.25">
      <c r="A40" s="267" t="s">
        <v>39</v>
      </c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W40">
        <v>10</v>
      </c>
      <c r="X40" s="29">
        <f t="shared" si="7"/>
        <v>0</v>
      </c>
    </row>
    <row r="41" spans="1:24" x14ac:dyDescent="0.2">
      <c r="A41" t="s">
        <v>41</v>
      </c>
      <c r="F41" s="26">
        <f>G17-15</f>
        <v>-15</v>
      </c>
      <c r="G41"/>
      <c r="H41"/>
      <c r="I41"/>
    </row>
    <row r="42" spans="1:24" x14ac:dyDescent="0.2">
      <c r="A42" t="s">
        <v>42</v>
      </c>
      <c r="F42" s="26">
        <f>E17-G17+15</f>
        <v>15</v>
      </c>
      <c r="G42"/>
      <c r="H42"/>
      <c r="I42"/>
    </row>
    <row r="43" spans="1:24" x14ac:dyDescent="0.2">
      <c r="A43" t="s">
        <v>43</v>
      </c>
      <c r="F43" s="26">
        <f>G17-35</f>
        <v>-35</v>
      </c>
      <c r="G43"/>
      <c r="H43"/>
      <c r="I43"/>
    </row>
    <row r="44" spans="1:24" x14ac:dyDescent="0.2">
      <c r="A44" t="s">
        <v>44</v>
      </c>
      <c r="F44" s="26">
        <f>E17-G17+35</f>
        <v>35</v>
      </c>
      <c r="G44"/>
      <c r="H44"/>
      <c r="I44"/>
    </row>
    <row r="45" spans="1:24" x14ac:dyDescent="0.2">
      <c r="A45" t="s">
        <v>45</v>
      </c>
      <c r="F45" s="26">
        <f>F17-23</f>
        <v>-23</v>
      </c>
      <c r="G45"/>
      <c r="H45"/>
      <c r="I45"/>
    </row>
    <row r="46" spans="1:24" x14ac:dyDescent="0.2">
      <c r="A46" t="s">
        <v>46</v>
      </c>
      <c r="F46" s="26">
        <f>E17-G17+23</f>
        <v>23</v>
      </c>
      <c r="G46"/>
      <c r="H46"/>
      <c r="I46"/>
    </row>
    <row r="47" spans="1:24" x14ac:dyDescent="0.2">
      <c r="F47" s="9"/>
      <c r="G47"/>
      <c r="H47"/>
      <c r="I47"/>
      <c r="P47" s="9"/>
    </row>
    <row r="48" spans="1:24" ht="15" x14ac:dyDescent="0.25">
      <c r="A48" s="34" t="s">
        <v>47</v>
      </c>
      <c r="B48" s="35"/>
      <c r="C48" s="35"/>
      <c r="D48" s="35"/>
      <c r="E48" s="35"/>
      <c r="F48" s="35" t="s">
        <v>48</v>
      </c>
      <c r="G48" s="35"/>
      <c r="H48" s="35"/>
      <c r="I48" s="35"/>
      <c r="J48" s="35"/>
      <c r="K48" s="35"/>
      <c r="L48" s="35"/>
    </row>
    <row r="49" spans="1:14" x14ac:dyDescent="0.2">
      <c r="A49" t="s">
        <v>49</v>
      </c>
      <c r="F49" s="26">
        <v>25</v>
      </c>
      <c r="G49"/>
      <c r="H49"/>
      <c r="I49"/>
    </row>
    <row r="50" spans="1:14" x14ac:dyDescent="0.2">
      <c r="A50" t="s">
        <v>33</v>
      </c>
      <c r="F50" s="26">
        <f>F28-25</f>
        <v>-67</v>
      </c>
      <c r="G50"/>
      <c r="H50"/>
      <c r="I50"/>
    </row>
    <row r="51" spans="1:14" x14ac:dyDescent="0.2">
      <c r="A51" s="33" t="s">
        <v>35</v>
      </c>
      <c r="F51" s="36" t="s">
        <v>50</v>
      </c>
      <c r="G51"/>
      <c r="H51"/>
      <c r="I51" t="s">
        <v>36</v>
      </c>
    </row>
    <row r="52" spans="1:14" x14ac:dyDescent="0.2">
      <c r="F52" s="129" t="str">
        <f>IF(B17=2,"Achtung!! 2 Flüglig!! Mittleres Loch auslassen","")</f>
        <v/>
      </c>
      <c r="G52"/>
      <c r="H52"/>
      <c r="I52"/>
    </row>
    <row r="53" spans="1:14" ht="15" x14ac:dyDescent="0.25">
      <c r="A53" s="267" t="s">
        <v>51</v>
      </c>
      <c r="B53" s="267"/>
      <c r="C53" s="267"/>
      <c r="D53" s="267"/>
      <c r="E53" s="267"/>
      <c r="F53" s="267"/>
      <c r="G53" s="267"/>
      <c r="H53" s="267"/>
      <c r="I53" s="267"/>
      <c r="J53" s="267"/>
      <c r="K53" s="267"/>
      <c r="L53" s="267"/>
    </row>
    <row r="54" spans="1:14" x14ac:dyDescent="0.2">
      <c r="A54" s="35" t="s">
        <v>52</v>
      </c>
      <c r="B54" s="37" t="s">
        <v>53</v>
      </c>
      <c r="C54" s="37"/>
      <c r="D54" s="206" t="s">
        <v>54</v>
      </c>
      <c r="E54" s="206"/>
      <c r="F54" s="35" t="s">
        <v>55</v>
      </c>
      <c r="G54" s="35"/>
      <c r="H54" s="35"/>
      <c r="I54" s="35"/>
      <c r="J54" s="35"/>
      <c r="K54" s="266" t="s">
        <v>13</v>
      </c>
      <c r="L54" s="266"/>
    </row>
    <row r="55" spans="1:14" x14ac:dyDescent="0.2">
      <c r="A55" s="12">
        <v>1</v>
      </c>
      <c r="B55" s="9">
        <f>VLOOKUP(A17,'Bestellung Commande'!A27:O65,11,FALSE)</f>
        <v>0</v>
      </c>
      <c r="C55" s="9"/>
      <c r="D55" s="252">
        <f>IF(ISERROR(VLOOKUP($B55,DATEN!$A$3:$D$10,2,FALSE)),"",VLOOKUP($B55,DATEN!$A$3:$D$10,2,FALSE))</f>
        <v>0</v>
      </c>
      <c r="E55" s="252"/>
      <c r="F55" s="12">
        <f>IF(ISERROR(VLOOKUP($B55,DATEN!$A$3:$D$10,3,FALSE)),"",VLOOKUP($B55,DATEN!$A$3:$D$10,3,FALSE))</f>
        <v>0</v>
      </c>
      <c r="G55"/>
      <c r="H55"/>
      <c r="K55" s="265">
        <f>$F$22</f>
        <v>0</v>
      </c>
      <c r="L55" s="265"/>
    </row>
    <row r="56" spans="1:14" x14ac:dyDescent="0.2">
      <c r="A56" s="12">
        <v>2</v>
      </c>
      <c r="B56" s="9">
        <f>VLOOKUP(A17,'Bestellung Commande'!A27:O65,12,FALSE)</f>
        <v>0</v>
      </c>
      <c r="C56" s="9"/>
      <c r="D56" s="252">
        <f>IF(ISERROR(VLOOKUP($B56,DATEN!$A$3:$D$10,2,FALSE)),"",VLOOKUP($B56,DATEN!$A$3:$D$10,2,FALSE))</f>
        <v>0</v>
      </c>
      <c r="E56" s="252"/>
      <c r="F56" s="9">
        <f>IF(ISERROR(VLOOKUP($B56,DATEN!$A$3:$D$10,3,FALSE)),"",VLOOKUP($B56,DATEN!$A$3:$D$10,3,FALSE))</f>
        <v>0</v>
      </c>
      <c r="G56"/>
      <c r="H56"/>
      <c r="K56" s="265">
        <f t="shared" ref="K56:K58" si="8">$F$22</f>
        <v>0</v>
      </c>
      <c r="L56" s="265"/>
    </row>
    <row r="57" spans="1:14" x14ac:dyDescent="0.2">
      <c r="A57" s="12">
        <v>3</v>
      </c>
      <c r="B57" s="9">
        <f>VLOOKUP(A17,'Bestellung Commande'!A27:O65,13,FALSE)</f>
        <v>0</v>
      </c>
      <c r="C57" s="9"/>
      <c r="D57" s="252">
        <f>IF(ISERROR(VLOOKUP($B57,DATEN!$A$3:$D$10,2,FALSE)),"",VLOOKUP($B57,DATEN!$A$3:$D$10,2,FALSE))</f>
        <v>0</v>
      </c>
      <c r="E57" s="252"/>
      <c r="F57" s="9">
        <f>IF(ISERROR(VLOOKUP($B57,DATEN!$A$3:$D$10,3,FALSE)),"",VLOOKUP($B57,DATEN!$A$3:$D$10,3,FALSE))</f>
        <v>0</v>
      </c>
      <c r="K57" s="265">
        <f t="shared" si="8"/>
        <v>0</v>
      </c>
      <c r="L57" s="265"/>
    </row>
    <row r="58" spans="1:14" x14ac:dyDescent="0.2">
      <c r="A58" s="12">
        <v>4</v>
      </c>
      <c r="B58" s="9">
        <f>VLOOKUP(A17,'Bestellung Commande'!A27:O65,14,FALSE)</f>
        <v>0</v>
      </c>
      <c r="C58" s="9"/>
      <c r="D58" s="252">
        <f>IF(ISERROR(VLOOKUP($B58,DATEN!$A$3:$D$10,2,FALSE)),"",VLOOKUP($B58,DATEN!$A$3:$D$10,2,FALSE))</f>
        <v>0</v>
      </c>
      <c r="E58" s="252"/>
      <c r="F58" s="9">
        <f>IF(ISERROR(VLOOKUP($B58,DATEN!$A$3:$D$10,3,FALSE)),"",VLOOKUP($B58,DATEN!$A$3:$D$10,3,FALSE))</f>
        <v>0</v>
      </c>
      <c r="K58" s="265">
        <f t="shared" si="8"/>
        <v>0</v>
      </c>
      <c r="L58" s="265"/>
      <c r="N58" s="46">
        <f>'Bestellung Commande'!B44</f>
        <v>0</v>
      </c>
    </row>
  </sheetData>
  <sheetProtection algorithmName="SHA-512" hashValue="5qGeYed90AHtpHjCXfy62tfz3kIE6BOMzTTMseIkARtVhw5Ysp8QDNdP72D8TNaV05UO8oaLGrI3euMAmSyb1g==" saltValue="GYOLpoYUucgC5oLHG3n/vg==" spinCount="100000" sheet="1" objects="1" scenarios="1"/>
  <mergeCells count="52">
    <mergeCell ref="D57:E57"/>
    <mergeCell ref="K57:L57"/>
    <mergeCell ref="D58:E58"/>
    <mergeCell ref="K58:L58"/>
    <mergeCell ref="A53:L53"/>
    <mergeCell ref="D54:E54"/>
    <mergeCell ref="K54:L54"/>
    <mergeCell ref="D55:E55"/>
    <mergeCell ref="K55:L55"/>
    <mergeCell ref="D56:E56"/>
    <mergeCell ref="K56:L56"/>
    <mergeCell ref="A40:L40"/>
    <mergeCell ref="A13:B13"/>
    <mergeCell ref="D13:F13"/>
    <mergeCell ref="A14:B14"/>
    <mergeCell ref="D14:F14"/>
    <mergeCell ref="B16:C16"/>
    <mergeCell ref="I16:L16"/>
    <mergeCell ref="B17:C17"/>
    <mergeCell ref="A20:N20"/>
    <mergeCell ref="A24:N24"/>
    <mergeCell ref="A29:N29"/>
    <mergeCell ref="A34:N34"/>
    <mergeCell ref="A10:B10"/>
    <mergeCell ref="D10:F10"/>
    <mergeCell ref="G10:N11"/>
    <mergeCell ref="A11:F11"/>
    <mergeCell ref="A12:B12"/>
    <mergeCell ref="D12:F12"/>
    <mergeCell ref="A6:B6"/>
    <mergeCell ref="D6:F6"/>
    <mergeCell ref="G6:N6"/>
    <mergeCell ref="A7:F7"/>
    <mergeCell ref="G7:N9"/>
    <mergeCell ref="A8:B8"/>
    <mergeCell ref="D8:F8"/>
    <mergeCell ref="A9:B9"/>
    <mergeCell ref="D9:F9"/>
    <mergeCell ref="D4:F4"/>
    <mergeCell ref="G4:J4"/>
    <mergeCell ref="K4:N4"/>
    <mergeCell ref="A5:B5"/>
    <mergeCell ref="D5:F5"/>
    <mergeCell ref="G5:J5"/>
    <mergeCell ref="K5:N5"/>
    <mergeCell ref="A1:N1"/>
    <mergeCell ref="A2:F2"/>
    <mergeCell ref="G2:N2"/>
    <mergeCell ref="A3:B3"/>
    <mergeCell ref="D3:F3"/>
    <mergeCell ref="G3:J3"/>
    <mergeCell ref="K3:N3"/>
  </mergeCells>
  <printOptions horizontalCentered="1"/>
  <pageMargins left="0.27" right="0.31" top="0.74803149606299213" bottom="0.74803149606299213" header="0.31496062992125984" footer="0.31496062992125984"/>
  <pageSetup paperSize="9" scale="87" orientation="portrait" r:id="rId1"/>
  <headerFooter>
    <oddHeader>&amp;R&amp;G</oddHeader>
    <oddFooter>&amp;LDuckdatum: &amp;D
&amp;F&amp;R&amp;P/&amp;N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F2711BF-2C2B-4A6F-88DA-412F53F497C7}">
          <x14:formula1>
            <xm:f>DATEN!$I$1:$J$1</xm:f>
          </x14:formula1>
          <xm:sqref>K3:N3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7BBA9-B397-48E4-BFFF-3898115F596D}">
  <sheetPr codeName="Tabelle23"/>
  <dimension ref="A1:X58"/>
  <sheetViews>
    <sheetView view="pageBreakPreview" zoomScaleNormal="120" zoomScaleSheetLayoutView="100" workbookViewId="0">
      <selection activeCell="A12" sqref="A12:B12"/>
    </sheetView>
  </sheetViews>
  <sheetFormatPr baseColWidth="10" defaultColWidth="11" defaultRowHeight="14.25" x14ac:dyDescent="0.2"/>
  <cols>
    <col min="1" max="3" width="8.875" customWidth="1"/>
    <col min="4" max="5" width="6.5" customWidth="1"/>
    <col min="6" max="6" width="10.625" customWidth="1"/>
    <col min="7" max="7" width="8.75" style="9" customWidth="1"/>
    <col min="8" max="8" width="8.875" style="9" customWidth="1"/>
    <col min="9" max="9" width="4.875" style="9" customWidth="1"/>
    <col min="10" max="10" width="8.75" customWidth="1"/>
    <col min="11" max="11" width="4.5" style="9" customWidth="1"/>
    <col min="12" max="13" width="4.5" customWidth="1"/>
    <col min="14" max="14" width="4.5" style="9" customWidth="1"/>
  </cols>
  <sheetData>
    <row r="1" spans="1:18" ht="23.25" x14ac:dyDescent="0.2">
      <c r="A1" s="238" t="s">
        <v>9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1:18" ht="15" x14ac:dyDescent="0.25">
      <c r="A2" s="253" t="s">
        <v>0</v>
      </c>
      <c r="B2" s="254"/>
      <c r="C2" s="254"/>
      <c r="D2" s="254"/>
      <c r="E2" s="254"/>
      <c r="F2" s="255"/>
      <c r="G2" s="161" t="s">
        <v>1</v>
      </c>
      <c r="H2" s="162"/>
      <c r="I2" s="162"/>
      <c r="J2" s="162"/>
      <c r="K2" s="162"/>
      <c r="L2" s="162"/>
      <c r="M2" s="162"/>
      <c r="N2" s="162"/>
    </row>
    <row r="3" spans="1:18" ht="15" x14ac:dyDescent="0.25">
      <c r="A3" s="165" t="str">
        <f>VLOOKUP(DATEN!I2,DATEN!$I$1:$J$39,IF($K$3="Deutsch", 1, 2),FALSE)</f>
        <v>Kunde Name:</v>
      </c>
      <c r="B3" s="167"/>
      <c r="C3" s="11"/>
      <c r="D3" s="212">
        <f>'Bestellung Commande'!C2</f>
        <v>0</v>
      </c>
      <c r="E3" s="212"/>
      <c r="F3" s="212"/>
      <c r="G3" s="256" t="s">
        <v>2</v>
      </c>
      <c r="H3" s="257"/>
      <c r="I3" s="257"/>
      <c r="J3" s="258"/>
      <c r="K3" s="259" t="s">
        <v>3</v>
      </c>
      <c r="L3" s="260"/>
      <c r="M3" s="260"/>
      <c r="N3" s="261"/>
    </row>
    <row r="4" spans="1:18" ht="15" x14ac:dyDescent="0.25">
      <c r="A4" s="10" t="str">
        <f>VLOOKUP(DATEN!I3,DATEN!$I$1:$J$39,IF($K$3="Deutsch", 1, 2),FALSE)</f>
        <v>Kontaktperson:</v>
      </c>
      <c r="B4" s="11"/>
      <c r="C4" s="11"/>
      <c r="D4" s="212">
        <f>'Bestellung Commande'!C3</f>
        <v>0</v>
      </c>
      <c r="E4" s="212"/>
      <c r="F4" s="212"/>
      <c r="G4" s="256" t="str">
        <f>VLOOKUP(DATEN!I9,DATEN!$I$1:$J$39,IF($K$3="Deutsch", 1, 2),FALSE)</f>
        <v>Bestelldatum:</v>
      </c>
      <c r="H4" s="257"/>
      <c r="I4" s="257"/>
      <c r="J4" s="258"/>
      <c r="K4" s="263">
        <f>'Bestellung Commande'!L3</f>
        <v>0</v>
      </c>
      <c r="L4" s="260"/>
      <c r="M4" s="260"/>
      <c r="N4" s="261"/>
    </row>
    <row r="5" spans="1:18" ht="15" x14ac:dyDescent="0.25">
      <c r="A5" s="165" t="str">
        <f>VLOOKUP(DATEN!I4,DATEN!$I$1:$J$39,IF($K$3="Deutsch", 1, 2),FALSE)</f>
        <v>Kommision:</v>
      </c>
      <c r="B5" s="167"/>
      <c r="C5" s="11"/>
      <c r="D5" s="212">
        <f>'Bestellung Commande'!C4</f>
        <v>0</v>
      </c>
      <c r="E5" s="212"/>
      <c r="F5" s="212"/>
      <c r="G5" s="256" t="str">
        <f>VLOOKUP(DATEN!I10,DATEN!$I$1:$J$39,IF($K$3="Deutsch", 1, 2),FALSE)</f>
        <v>Wunsch Liefertermin:</v>
      </c>
      <c r="H5" s="257"/>
      <c r="I5" s="257"/>
      <c r="J5" s="258"/>
      <c r="K5" s="263">
        <f>'Bestellung Commande'!L4</f>
        <v>0</v>
      </c>
      <c r="L5" s="260"/>
      <c r="M5" s="260"/>
      <c r="N5" s="261"/>
    </row>
    <row r="6" spans="1:18" ht="15" x14ac:dyDescent="0.25">
      <c r="A6" s="165" t="str">
        <f>VLOOKUP(DATEN!I5,DATEN!$I$1:$J$39,IF($K$3="Deutsch", 1, 2),FALSE)</f>
        <v>Kontakt Telefon:</v>
      </c>
      <c r="B6" s="167"/>
      <c r="C6" s="11"/>
      <c r="D6" s="212">
        <f>'Bestellung Commande'!C5</f>
        <v>0</v>
      </c>
      <c r="E6" s="212"/>
      <c r="F6" s="212"/>
      <c r="G6" s="163" t="str">
        <f>VLOOKUP(DATEN!I11,DATEN!$I$1:$J$39,IF($K$3="Deutsch", 1, 2),FALSE)</f>
        <v>Bemerkung:</v>
      </c>
      <c r="H6" s="164"/>
      <c r="I6" s="164"/>
      <c r="J6" s="164"/>
      <c r="K6" s="164"/>
      <c r="L6" s="164"/>
      <c r="M6" s="164"/>
      <c r="N6" s="164"/>
    </row>
    <row r="7" spans="1:18" ht="15" x14ac:dyDescent="0.25">
      <c r="A7" s="264" t="s">
        <v>4</v>
      </c>
      <c r="B7" s="264"/>
      <c r="C7" s="264"/>
      <c r="D7" s="264"/>
      <c r="E7" s="264"/>
      <c r="F7" s="264"/>
      <c r="G7" s="225" t="str">
        <f>VLOOKUP(DATEN!I11,DATEN!$I$1:$J$39,IF($K$3="Deutsch", 1, 2),FALSE)</f>
        <v>Bemerkung:</v>
      </c>
      <c r="H7" s="225"/>
      <c r="I7" s="225"/>
      <c r="J7" s="225"/>
      <c r="K7" s="225"/>
      <c r="L7" s="225"/>
      <c r="M7" s="225"/>
      <c r="N7" s="225"/>
    </row>
    <row r="8" spans="1:18" ht="15" x14ac:dyDescent="0.25">
      <c r="A8" s="165" t="str">
        <f>VLOOKUP(DATEN!I6,DATEN!$I$1:$J$39,IF($K$3="Deutsch", 1, 2),FALSE)</f>
        <v>Strasse:</v>
      </c>
      <c r="B8" s="167"/>
      <c r="C8" s="11"/>
      <c r="D8" s="212">
        <f>'Bestellung Commande'!C8</f>
        <v>0</v>
      </c>
      <c r="E8" s="212"/>
      <c r="F8" s="212"/>
      <c r="G8" s="225"/>
      <c r="H8" s="225"/>
      <c r="I8" s="225"/>
      <c r="J8" s="225"/>
      <c r="K8" s="225"/>
      <c r="L8" s="225"/>
      <c r="M8" s="225"/>
      <c r="N8" s="225"/>
    </row>
    <row r="9" spans="1:18" ht="15" x14ac:dyDescent="0.25">
      <c r="A9" s="165" t="str">
        <f>VLOOKUP(DATEN!I7,DATEN!$I$1:$J$39,IF($K$3="Deutsch", 1, 2),FALSE)</f>
        <v>PLZ Ort:</v>
      </c>
      <c r="B9" s="167"/>
      <c r="C9" s="11"/>
      <c r="D9" s="212">
        <f>'Bestellung Commande'!C9</f>
        <v>0</v>
      </c>
      <c r="E9" s="212"/>
      <c r="F9" s="212"/>
      <c r="G9" s="225"/>
      <c r="H9" s="225"/>
      <c r="I9" s="225"/>
      <c r="J9" s="225"/>
      <c r="K9" s="225"/>
      <c r="L9" s="225"/>
      <c r="M9" s="225"/>
      <c r="N9" s="225"/>
    </row>
    <row r="10" spans="1:18" ht="15" customHeight="1" x14ac:dyDescent="0.25">
      <c r="A10" s="165" t="str">
        <f>VLOOKUP(DATEN!I8,DATEN!$I$1:$J$39,IF($K$3="Deutsch", 1, 2),FALSE)</f>
        <v>Kontakt:</v>
      </c>
      <c r="B10" s="167"/>
      <c r="C10" s="11"/>
      <c r="D10" s="212">
        <f>'Bestellung Commande'!C10</f>
        <v>0</v>
      </c>
      <c r="E10" s="212"/>
      <c r="F10" s="212"/>
      <c r="G10" s="262" t="str">
        <f>IF(VLOOKUP($A$17,'Bestellung Commande'!$A$27:$O$65,10,FALSE)&lt;&gt;"","Sonderbau!!!","")</f>
        <v/>
      </c>
      <c r="H10" s="262"/>
      <c r="I10" s="262"/>
      <c r="J10" s="262"/>
      <c r="K10" s="262"/>
      <c r="L10" s="262"/>
      <c r="M10" s="262"/>
      <c r="N10" s="262"/>
    </row>
    <row r="11" spans="1:18" ht="15" customHeight="1" x14ac:dyDescent="0.25">
      <c r="A11" s="264" t="s">
        <v>5</v>
      </c>
      <c r="B11" s="264"/>
      <c r="C11" s="264"/>
      <c r="D11" s="264"/>
      <c r="E11" s="264"/>
      <c r="F11" s="264"/>
      <c r="G11" s="262"/>
      <c r="H11" s="262"/>
      <c r="I11" s="262"/>
      <c r="J11" s="262"/>
      <c r="K11" s="262"/>
      <c r="L11" s="262"/>
      <c r="M11" s="262"/>
      <c r="N11" s="262"/>
    </row>
    <row r="12" spans="1:18" ht="15" customHeight="1" x14ac:dyDescent="0.4">
      <c r="A12" s="165" t="str">
        <f>VLOOKUP(DATEN!I6,DATEN!$I$1:$J$39,IF($K$3="Deutsch", 1, 2),FALSE)</f>
        <v>Strasse:</v>
      </c>
      <c r="B12" s="167"/>
      <c r="C12" s="11"/>
      <c r="D12" s="212">
        <f>'Bestellung Commande'!C12</f>
        <v>0</v>
      </c>
      <c r="E12" s="212"/>
      <c r="F12" s="212"/>
      <c r="G12" s="146"/>
      <c r="H12" s="146"/>
      <c r="I12" s="146"/>
      <c r="J12" s="146"/>
      <c r="K12" s="146"/>
      <c r="L12" s="146"/>
      <c r="M12" s="146"/>
      <c r="N12" s="146"/>
    </row>
    <row r="13" spans="1:18" ht="15" customHeight="1" x14ac:dyDescent="0.4">
      <c r="A13" s="165" t="str">
        <f>VLOOKUP(DATEN!I7,DATEN!$I$1:$J$39,IF($K$3="Deutsch", 1, 2),FALSE)</f>
        <v>PLZ Ort:</v>
      </c>
      <c r="B13" s="167"/>
      <c r="C13" s="11"/>
      <c r="D13" s="212">
        <f>'Bestellung Commande'!C13</f>
        <v>0</v>
      </c>
      <c r="E13" s="212"/>
      <c r="F13" s="212"/>
      <c r="G13" s="146"/>
      <c r="H13" s="146"/>
      <c r="I13" s="146"/>
      <c r="J13" s="146"/>
      <c r="K13" s="146"/>
      <c r="L13" s="146"/>
      <c r="M13" s="146"/>
      <c r="N13" s="146"/>
    </row>
    <row r="14" spans="1:18" ht="15" customHeight="1" x14ac:dyDescent="0.4">
      <c r="A14" s="165" t="str">
        <f>VLOOKUP(DATEN!I8,DATEN!$I$1:$J$39,IF($K$3="Deutsch", 1, 2),FALSE)</f>
        <v>Kontakt:</v>
      </c>
      <c r="B14" s="167"/>
      <c r="C14" s="11"/>
      <c r="D14" s="212">
        <f>'Bestellung Commande'!C14</f>
        <v>0</v>
      </c>
      <c r="E14" s="212"/>
      <c r="F14" s="212"/>
      <c r="G14" s="146"/>
      <c r="H14" s="146"/>
      <c r="I14" s="146"/>
      <c r="J14" s="146"/>
      <c r="K14" s="146"/>
      <c r="L14" s="146"/>
      <c r="M14" s="146"/>
      <c r="N14" s="146"/>
    </row>
    <row r="15" spans="1:18" ht="15.75" thickBot="1" x14ac:dyDescent="0.3">
      <c r="A15" s="140" t="str">
        <f>'Bestellung Commande'!A67</f>
        <v>V9.5</v>
      </c>
      <c r="B15" s="14"/>
      <c r="C15" s="14"/>
      <c r="D15" s="15"/>
      <c r="E15" s="15"/>
      <c r="F15" s="15"/>
      <c r="G15" s="13"/>
      <c r="H15" s="13"/>
      <c r="I15" s="13"/>
      <c r="J15" s="13"/>
      <c r="K15" s="13"/>
      <c r="L15" s="13"/>
      <c r="M15" s="16">
        <f>'Bestellung Commande'!N24</f>
        <v>73</v>
      </c>
      <c r="N15" s="13"/>
      <c r="O15" s="20" t="s">
        <v>220</v>
      </c>
      <c r="P15" s="9"/>
      <c r="Q15" s="9"/>
      <c r="R15" s="9"/>
    </row>
    <row r="16" spans="1:18" s="19" customFormat="1" ht="28.5" customHeight="1" x14ac:dyDescent="0.2">
      <c r="A16" s="17" t="s">
        <v>216</v>
      </c>
      <c r="B16" s="176" t="str">
        <f>VLOOKUP(DATEN!I14,DATEN!$I$1:$J$39,IF($K$3="Deutsch", 1, 2),FALSE)</f>
        <v>Anz.
Flügel</v>
      </c>
      <c r="C16" s="176"/>
      <c r="D16" s="17" t="str">
        <f>VLOOKUP(DATEN!I15,DATEN!$I$1:$J$39,IF($K$3="Deutsch", 1, 2),FALSE)</f>
        <v>Stk Schw.</v>
      </c>
      <c r="E16" s="17" t="str">
        <f>VLOOKUP(DATEN!I16,DATEN!$I$1:$J$39,IF($K$3="Deutsch", 1, 2),FALSE)</f>
        <v>RA</v>
      </c>
      <c r="F16" s="17" t="str">
        <f>VLOOKUP(DATEN!I17,DATEN!$I$1:$J$39,IF($K$3="Deutsch", 1, 2),FALSE)</f>
        <v>RBL 
(min45)</v>
      </c>
      <c r="G16" s="17" t="str">
        <f>VLOOKUP(DATEN!I18,DATEN!$I$1:$J$39,IF($K$3="Deutsch", 1, 2),FALSE)</f>
        <v>RBR 
(min45)</v>
      </c>
      <c r="H16" s="17"/>
      <c r="I16" s="184" t="str">
        <f>VLOOKUP(DATEN!I19,DATEN!$I$1:$J$39,IF($K$3="Deutsch", 1, 2),FALSE)</f>
        <v>Verbreiterungen</v>
      </c>
      <c r="J16" s="185"/>
      <c r="K16" s="185"/>
      <c r="L16" s="185"/>
      <c r="M16" s="18" t="str">
        <f>VLOOKUP(DATEN!I20,DATEN!$I$1:$J$39,IF($K$3="Deutsch",1,2),FALSE)</f>
        <v>Total</v>
      </c>
      <c r="N16" s="17"/>
      <c r="O16" s="20" t="str">
        <f>E25</f>
        <v>Profil</v>
      </c>
      <c r="P16" s="20" t="str">
        <f>A26</f>
        <v>Links</v>
      </c>
      <c r="Q16" s="20" t="str">
        <f>A27</f>
        <v>Rechts</v>
      </c>
      <c r="R16" s="20" t="str">
        <f>A28</f>
        <v>Mittelteil</v>
      </c>
    </row>
    <row r="17" spans="1:24" ht="15" thickBot="1" x14ac:dyDescent="0.25">
      <c r="A17" s="41">
        <v>20</v>
      </c>
      <c r="B17" s="268">
        <f>VLOOKUP($A$17,'Bestellung Commande'!$A$27:$O$65,3,FALSE)</f>
        <v>0</v>
      </c>
      <c r="C17" s="268"/>
      <c r="D17" s="41">
        <f>VLOOKUP($A$17,'Bestellung Commande'!$A$27:$O$65,5,FALSE)</f>
        <v>0</v>
      </c>
      <c r="E17" s="41">
        <f>VLOOKUP($A$17,'Bestellung Commande'!$A$27:$O$65,6,FALSE)</f>
        <v>0</v>
      </c>
      <c r="F17" s="41">
        <f>VLOOKUP($A$17,'Bestellung Commande'!$A$27:$O$65,7,FALSE)</f>
        <v>0</v>
      </c>
      <c r="G17" s="41">
        <f>VLOOKUP($A$17,'Bestellung Commande'!$A$27:$O$65,8,FALSE)</f>
        <v>0</v>
      </c>
      <c r="H17" s="41">
        <f>VLOOKUP($A$17,'Bestellung Commande'!$A$27:$O$65,9,FALSE)</f>
        <v>0</v>
      </c>
      <c r="I17" s="22">
        <f>VLOOKUP($A$17,'Bestellung Commande'!$A$27:$O$65,10,FALSE)</f>
        <v>0</v>
      </c>
      <c r="J17" s="23">
        <f>VLOOKUP($A$17,'Bestellung Commande'!$A$27:$O$65,11,FALSE)</f>
        <v>0</v>
      </c>
      <c r="K17" s="23">
        <f>VLOOKUP($A$17,'Bestellung Commande'!$A$27:$O$65,12,FALSE)</f>
        <v>0</v>
      </c>
      <c r="L17" s="23">
        <f>VLOOKUP($A$17,'Bestellung Commande'!$A$27:$O$65,13,FALSE)</f>
        <v>0</v>
      </c>
      <c r="M17" s="125">
        <f>VLOOKUP($A$17,'Bestellung Commande'!$A$27:$O$65,14,FALSE)</f>
        <v>0</v>
      </c>
      <c r="N17" s="24"/>
      <c r="O17" s="9" t="str">
        <f>F25</f>
        <v>C298927</v>
      </c>
      <c r="P17" s="29">
        <f>F26</f>
        <v>20</v>
      </c>
      <c r="Q17" s="29">
        <f>F27</f>
        <v>20</v>
      </c>
      <c r="R17" s="29">
        <f>F28</f>
        <v>-42</v>
      </c>
    </row>
    <row r="18" spans="1:24" x14ac:dyDescent="0.2">
      <c r="B18" s="41" cm="1">
        <f t="array" ref="B18">INDEX('Bestellung Commande'!$C$27:$C$66, MATCH($A$17, 'Bestellung Commande'!$A$27:$A$66, 0) + 1)</f>
        <v>0</v>
      </c>
      <c r="C18" s="41" cm="1">
        <f t="array" ref="C18">INDEX('Bestellung Commande'!$D$27:$D$66, MATCH($A$17, 'Bestellung Commande'!$A$27:$A$66, 0) + 1)</f>
        <v>0</v>
      </c>
    </row>
    <row r="20" spans="1:24" ht="15" x14ac:dyDescent="0.25">
      <c r="A20" s="267" t="s">
        <v>10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</row>
    <row r="21" spans="1:24" ht="15" x14ac:dyDescent="0.25">
      <c r="E21" s="25" t="s">
        <v>11</v>
      </c>
      <c r="F21" s="9" t="s">
        <v>12</v>
      </c>
      <c r="G21"/>
      <c r="H21"/>
      <c r="I21"/>
    </row>
    <row r="22" spans="1:24" x14ac:dyDescent="0.2">
      <c r="E22" t="s">
        <v>13</v>
      </c>
      <c r="F22" s="26">
        <f>E17</f>
        <v>0</v>
      </c>
      <c r="G22"/>
      <c r="H22"/>
      <c r="I22"/>
    </row>
    <row r="23" spans="1:24" x14ac:dyDescent="0.2">
      <c r="F23" s="9">
        <f>B17</f>
        <v>0</v>
      </c>
      <c r="G23"/>
      <c r="H23"/>
      <c r="I23"/>
    </row>
    <row r="24" spans="1:24" ht="15" x14ac:dyDescent="0.25">
      <c r="A24" s="267" t="s">
        <v>14</v>
      </c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</row>
    <row r="25" spans="1:24" ht="15" x14ac:dyDescent="0.25">
      <c r="E25" s="25" t="s">
        <v>11</v>
      </c>
      <c r="F25" s="9" t="s">
        <v>15</v>
      </c>
      <c r="G25"/>
      <c r="H25"/>
      <c r="I25"/>
    </row>
    <row r="26" spans="1:24" x14ac:dyDescent="0.2">
      <c r="A26" t="s">
        <v>16</v>
      </c>
      <c r="E26" t="s">
        <v>13</v>
      </c>
      <c r="F26" s="26">
        <f>F17+20</f>
        <v>20</v>
      </c>
      <c r="G26"/>
      <c r="H26"/>
      <c r="I26"/>
      <c r="W26" s="121" t="s">
        <v>208</v>
      </c>
      <c r="X26" s="122">
        <f>F37-F36</f>
        <v>-100</v>
      </c>
    </row>
    <row r="27" spans="1:24" x14ac:dyDescent="0.2">
      <c r="A27" t="s">
        <v>17</v>
      </c>
      <c r="E27" t="s">
        <v>13</v>
      </c>
      <c r="F27" s="26">
        <f>G17+20</f>
        <v>20</v>
      </c>
      <c r="G27"/>
      <c r="H27"/>
      <c r="I27"/>
      <c r="W27" t="s">
        <v>209</v>
      </c>
      <c r="X27">
        <f>[1]DATEN!D14</f>
        <v>300</v>
      </c>
    </row>
    <row r="28" spans="1:24" x14ac:dyDescent="0.2">
      <c r="A28" t="s">
        <v>18</v>
      </c>
      <c r="E28" t="s">
        <v>13</v>
      </c>
      <c r="F28" s="26">
        <f>(E17-(F26+F27))-2</f>
        <v>-42</v>
      </c>
      <c r="G28"/>
      <c r="H28"/>
      <c r="I28"/>
      <c r="P28" t="s">
        <v>293</v>
      </c>
      <c r="T28" t="s">
        <v>294</v>
      </c>
      <c r="W28" t="s">
        <v>210</v>
      </c>
      <c r="X28">
        <f>ROUNDUP(X26/X27,0)</f>
        <v>-1</v>
      </c>
    </row>
    <row r="29" spans="1:24" ht="15" x14ac:dyDescent="0.25">
      <c r="A29" s="267" t="s">
        <v>19</v>
      </c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7" t="str">
        <f t="shared" ref="O29:O39" si="0">IF(AND($F$32&gt;=Q29,$F$32&lt;R29),P29,"")</f>
        <v/>
      </c>
      <c r="P29" s="28" t="str">
        <f>" "</f>
        <v xml:space="preserve"> </v>
      </c>
      <c r="Q29" s="28">
        <v>-1000000</v>
      </c>
      <c r="R29" s="28">
        <v>0</v>
      </c>
      <c r="S29" s="27" t="str">
        <f t="shared" ref="S29:S39" si="1">IF(AND($G$32&gt;=U29,$G$32&lt;V29),T29,"")</f>
        <v/>
      </c>
      <c r="T29" s="28" t="str">
        <f t="shared" ref="T29:T30" si="2">P29</f>
        <v xml:space="preserve"> </v>
      </c>
      <c r="U29" s="28">
        <f t="shared" ref="U29:U30" si="3">Q29</f>
        <v>-1000000</v>
      </c>
      <c r="V29" s="28">
        <f t="shared" ref="V29:V30" si="4">R29</f>
        <v>0</v>
      </c>
      <c r="W29" t="s">
        <v>211</v>
      </c>
      <c r="X29">
        <f>X26/X28</f>
        <v>100</v>
      </c>
    </row>
    <row r="30" spans="1:24" ht="15" x14ac:dyDescent="0.25">
      <c r="F30" s="25" t="s">
        <v>293</v>
      </c>
      <c r="G30" s="25" t="s">
        <v>294</v>
      </c>
      <c r="H30"/>
      <c r="I30"/>
      <c r="K30"/>
      <c r="N30"/>
      <c r="O30" s="27" t="str">
        <f t="shared" si="0"/>
        <v/>
      </c>
      <c r="P30" s="28"/>
      <c r="Q30" s="28">
        <v>0.1</v>
      </c>
      <c r="R30" s="28">
        <v>247.9</v>
      </c>
      <c r="S30" s="27" t="str">
        <f t="shared" si="1"/>
        <v/>
      </c>
      <c r="T30" s="28">
        <f t="shared" si="2"/>
        <v>0</v>
      </c>
      <c r="U30" s="28">
        <f t="shared" si="3"/>
        <v>0.1</v>
      </c>
      <c r="V30" s="28">
        <f t="shared" si="4"/>
        <v>247.9</v>
      </c>
    </row>
    <row r="31" spans="1:24" x14ac:dyDescent="0.2">
      <c r="F31" s="9" t="str">
        <f>O29&amp;O31&amp;O32&amp;O33&amp;O34&amp;O35&amp;O36&amp;O37&amp;O38&amp;O39</f>
        <v/>
      </c>
      <c r="G31" s="9" t="str">
        <f>S29&amp;S31&amp;S32&amp;S33&amp;S34&amp;S35&amp;S36&amp;S37&amp;S38&amp;S39</f>
        <v/>
      </c>
      <c r="I31"/>
      <c r="O31" s="27" t="str">
        <f t="shared" si="0"/>
        <v/>
      </c>
      <c r="P31" s="28" t="str">
        <f>DATEN!M7</f>
        <v>C555366</v>
      </c>
      <c r="Q31" s="28">
        <f>DATEN!N7</f>
        <v>275</v>
      </c>
      <c r="R31" s="28">
        <f>DATEN!O7</f>
        <v>400</v>
      </c>
      <c r="S31" s="27" t="str">
        <f t="shared" si="1"/>
        <v/>
      </c>
      <c r="T31" s="28" t="str">
        <f>P31</f>
        <v>C555366</v>
      </c>
      <c r="U31" s="28">
        <f t="shared" ref="U31:V39" si="5">Q31</f>
        <v>275</v>
      </c>
      <c r="V31" s="28">
        <f t="shared" si="5"/>
        <v>400</v>
      </c>
      <c r="W31">
        <v>1</v>
      </c>
      <c r="X31" s="29">
        <f>F36</f>
        <v>50</v>
      </c>
    </row>
    <row r="32" spans="1:24" x14ac:dyDescent="0.2">
      <c r="A32" t="s">
        <v>13</v>
      </c>
      <c r="F32" s="26" t="b">
        <f>IF(AND(B17=1,B18=0),H17,IF(AND(B17=1,B18&gt;0),B18,IF(AND(B17=2,B18=0),(H17-20)/2,IF(AND(B17=2,B18&gt;0),B18))))</f>
        <v>0</v>
      </c>
      <c r="G32" s="26">
        <f>IF(B17=1,0,IF(AND(B17=2,C18=0),0,C18))</f>
        <v>0</v>
      </c>
      <c r="I32"/>
      <c r="O32" s="27" t="str">
        <f t="shared" si="0"/>
        <v/>
      </c>
      <c r="P32" s="28" t="str">
        <f>DATEN!M8</f>
        <v>C555367</v>
      </c>
      <c r="Q32" s="28">
        <f>DATEN!N8</f>
        <v>400</v>
      </c>
      <c r="R32" s="28">
        <f>DATEN!O8</f>
        <v>550</v>
      </c>
      <c r="S32" s="27" t="str">
        <f t="shared" si="1"/>
        <v/>
      </c>
      <c r="T32" s="28" t="str">
        <f t="shared" ref="T32:T39" si="6">P32</f>
        <v>C555367</v>
      </c>
      <c r="U32" s="28">
        <f t="shared" si="5"/>
        <v>400</v>
      </c>
      <c r="V32" s="28">
        <f t="shared" si="5"/>
        <v>550</v>
      </c>
      <c r="W32">
        <v>2</v>
      </c>
      <c r="X32" s="29">
        <f>ROUND(IF(W32-1&gt;$X$28,0,X31+$X$29),0)</f>
        <v>0</v>
      </c>
    </row>
    <row r="33" spans="1:24" x14ac:dyDescent="0.2">
      <c r="A33" t="s">
        <v>23</v>
      </c>
      <c r="F33" s="30">
        <f>IF(AND(B17=2,B18=0),B17,1)*D17</f>
        <v>0</v>
      </c>
      <c r="G33" s="30">
        <f>IF(G32&gt;0,1,0)*D17</f>
        <v>0</v>
      </c>
      <c r="I33"/>
      <c r="O33" s="27" t="str">
        <f t="shared" si="0"/>
        <v/>
      </c>
      <c r="P33" s="28" t="str">
        <f>DATEN!M9</f>
        <v>C555368</v>
      </c>
      <c r="Q33" s="28">
        <f>DATEN!N9</f>
        <v>550</v>
      </c>
      <c r="R33" s="28">
        <f>DATEN!O9</f>
        <v>700</v>
      </c>
      <c r="S33" s="27" t="str">
        <f t="shared" si="1"/>
        <v/>
      </c>
      <c r="T33" s="28" t="str">
        <f t="shared" si="6"/>
        <v>C555368</v>
      </c>
      <c r="U33" s="28">
        <f t="shared" si="5"/>
        <v>550</v>
      </c>
      <c r="V33" s="28">
        <f t="shared" si="5"/>
        <v>700</v>
      </c>
      <c r="W33">
        <v>3</v>
      </c>
      <c r="X33" s="29">
        <f t="shared" ref="X33:X40" si="7">ROUND(IF(W33-1&gt;$X$28,0,X32+$X$29),0)</f>
        <v>0</v>
      </c>
    </row>
    <row r="34" spans="1:24" ht="15" x14ac:dyDescent="0.25">
      <c r="A34" s="267" t="s">
        <v>25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7" t="str">
        <f>IF(AND($F$32&gt;=Q34,$F$32&lt;R34),P34,"")</f>
        <v/>
      </c>
      <c r="P34" s="28" t="str">
        <f>DATEN!M10</f>
        <v>C555369</v>
      </c>
      <c r="Q34" s="28">
        <f>DATEN!N10</f>
        <v>700</v>
      </c>
      <c r="R34" s="28">
        <f>DATEN!O10</f>
        <v>850</v>
      </c>
      <c r="S34" s="27" t="str">
        <f t="shared" si="1"/>
        <v/>
      </c>
      <c r="T34" s="28" t="str">
        <f t="shared" si="6"/>
        <v>C555369</v>
      </c>
      <c r="U34" s="28">
        <f t="shared" si="5"/>
        <v>700</v>
      </c>
      <c r="V34" s="28">
        <f t="shared" si="5"/>
        <v>850</v>
      </c>
      <c r="W34">
        <v>4</v>
      </c>
      <c r="X34" s="29">
        <f t="shared" si="7"/>
        <v>0</v>
      </c>
    </row>
    <row r="35" spans="1:24" ht="15" x14ac:dyDescent="0.25">
      <c r="A35" s="31" t="s">
        <v>27</v>
      </c>
      <c r="F35" s="9" t="s">
        <v>28</v>
      </c>
      <c r="G35" s="32" t="s">
        <v>29</v>
      </c>
      <c r="H35" s="32"/>
      <c r="I35"/>
      <c r="O35" s="27" t="str">
        <f t="shared" si="0"/>
        <v/>
      </c>
      <c r="P35" s="28" t="str">
        <f>DATEN!M11</f>
        <v>C555370</v>
      </c>
      <c r="Q35" s="28">
        <f>DATEN!N11</f>
        <v>850</v>
      </c>
      <c r="R35" s="28">
        <f>DATEN!O11</f>
        <v>1000</v>
      </c>
      <c r="S35" s="27" t="str">
        <f>IF(AND($G$32&gt;=U35,$G$32&lt;V35),T35,"")</f>
        <v/>
      </c>
      <c r="T35" s="28" t="str">
        <f t="shared" si="6"/>
        <v>C555370</v>
      </c>
      <c r="U35" s="28">
        <f t="shared" si="5"/>
        <v>850</v>
      </c>
      <c r="V35" s="28">
        <f t="shared" si="5"/>
        <v>1000</v>
      </c>
      <c r="W35">
        <v>5</v>
      </c>
      <c r="X35" s="29">
        <f t="shared" si="7"/>
        <v>0</v>
      </c>
    </row>
    <row r="36" spans="1:24" x14ac:dyDescent="0.2">
      <c r="A36" t="s">
        <v>31</v>
      </c>
      <c r="F36" s="26">
        <f>F17+50</f>
        <v>50</v>
      </c>
      <c r="G36"/>
      <c r="H36" t="s">
        <v>206</v>
      </c>
      <c r="I36"/>
      <c r="O36" s="27" t="str">
        <f t="shared" si="0"/>
        <v/>
      </c>
      <c r="P36" s="28" t="str">
        <f>DATEN!M12</f>
        <v>C555371</v>
      </c>
      <c r="Q36" s="28">
        <f>DATEN!N12</f>
        <v>1000</v>
      </c>
      <c r="R36" s="28">
        <f>DATEN!O12</f>
        <v>1150</v>
      </c>
      <c r="S36" s="27" t="str">
        <f t="shared" si="1"/>
        <v/>
      </c>
      <c r="T36" s="28" t="str">
        <f t="shared" si="6"/>
        <v>C555371</v>
      </c>
      <c r="U36" s="28">
        <f t="shared" si="5"/>
        <v>1000</v>
      </c>
      <c r="V36" s="28">
        <f t="shared" si="5"/>
        <v>1150</v>
      </c>
      <c r="W36">
        <v>6</v>
      </c>
      <c r="X36" s="29">
        <f t="shared" si="7"/>
        <v>0</v>
      </c>
    </row>
    <row r="37" spans="1:24" x14ac:dyDescent="0.2">
      <c r="A37" t="s">
        <v>33</v>
      </c>
      <c r="F37" s="26">
        <f>F17+H17-DATEN!$D$13</f>
        <v>-50</v>
      </c>
      <c r="H37" t="s">
        <v>36</v>
      </c>
      <c r="I37"/>
      <c r="J37" s="9">
        <f>X28+1</f>
        <v>0</v>
      </c>
      <c r="O37" s="27" t="str">
        <f t="shared" si="0"/>
        <v/>
      </c>
      <c r="P37" s="28" t="str">
        <f>DATEN!M13</f>
        <v>C555372</v>
      </c>
      <c r="Q37" s="28">
        <f>DATEN!N13</f>
        <v>1150</v>
      </c>
      <c r="R37" s="28">
        <f>DATEN!O13</f>
        <v>1300</v>
      </c>
      <c r="S37" s="27" t="str">
        <f t="shared" si="1"/>
        <v/>
      </c>
      <c r="T37" s="28" t="str">
        <f t="shared" si="6"/>
        <v>C555372</v>
      </c>
      <c r="U37" s="28">
        <f t="shared" si="5"/>
        <v>1150</v>
      </c>
      <c r="V37" s="28">
        <f t="shared" si="5"/>
        <v>1300</v>
      </c>
      <c r="W37">
        <v>7</v>
      </c>
      <c r="X37" s="29">
        <f t="shared" si="7"/>
        <v>0</v>
      </c>
    </row>
    <row r="38" spans="1:24" x14ac:dyDescent="0.2">
      <c r="A38" s="33" t="s">
        <v>35</v>
      </c>
      <c r="F38" s="123" t="str">
        <f>X31&amp;IF(X32="",""," / ")&amp;X32  &amp; IF(X33="",""," / ")&amp;X33&amp; IF(X34="",""," / ")&amp;X34&amp; IF(X35="",""," / ")&amp;X35&amp; IF(X36="",""," / ")&amp;X36&amp; IF(X37="",""," / ")&amp;X37&amp; IF(X38="",""," / ")&amp;X38&amp; IF(X39="",""," / ")&amp;X39&amp; IF(X40="",""," / ")&amp;X40</f>
        <v>50 / 0 / 0 / 0 / 0 / 0 / 0 / 0 / 0 / 0</v>
      </c>
      <c r="O38" s="27" t="str">
        <f t="shared" si="0"/>
        <v/>
      </c>
      <c r="P38" s="28" t="str">
        <f>DATEN!M14</f>
        <v>C555373</v>
      </c>
      <c r="Q38" s="28">
        <f>DATEN!N14</f>
        <v>1300</v>
      </c>
      <c r="R38" s="28">
        <f>DATEN!O14</f>
        <v>1450</v>
      </c>
      <c r="S38" s="27" t="str">
        <f t="shared" si="1"/>
        <v/>
      </c>
      <c r="T38" s="28" t="str">
        <f t="shared" si="6"/>
        <v>C555373</v>
      </c>
      <c r="U38" s="28">
        <f t="shared" si="5"/>
        <v>1300</v>
      </c>
      <c r="V38" s="28">
        <f t="shared" si="5"/>
        <v>1450</v>
      </c>
      <c r="W38">
        <v>8</v>
      </c>
      <c r="X38" s="29">
        <f t="shared" si="7"/>
        <v>0</v>
      </c>
    </row>
    <row r="39" spans="1:24" x14ac:dyDescent="0.2">
      <c r="F39" s="9"/>
      <c r="G39"/>
      <c r="H39"/>
      <c r="I39"/>
      <c r="O39" s="27" t="str">
        <f t="shared" si="0"/>
        <v/>
      </c>
      <c r="P39" s="28" t="str">
        <f>DATEN!M15</f>
        <v>Zu Lang</v>
      </c>
      <c r="Q39" s="28">
        <f>DATEN!N15</f>
        <v>1450.1</v>
      </c>
      <c r="R39" s="28">
        <f>DATEN!O15</f>
        <v>1000000</v>
      </c>
      <c r="S39" s="27" t="str">
        <f t="shared" si="1"/>
        <v/>
      </c>
      <c r="T39" s="28" t="str">
        <f t="shared" si="6"/>
        <v>Zu Lang</v>
      </c>
      <c r="U39" s="28">
        <f t="shared" si="5"/>
        <v>1450.1</v>
      </c>
      <c r="V39" s="28">
        <f t="shared" si="5"/>
        <v>1000000</v>
      </c>
      <c r="W39">
        <v>9</v>
      </c>
      <c r="X39" s="29">
        <f t="shared" si="7"/>
        <v>0</v>
      </c>
    </row>
    <row r="40" spans="1:24" ht="15" x14ac:dyDescent="0.25">
      <c r="A40" s="267" t="s">
        <v>39</v>
      </c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W40">
        <v>10</v>
      </c>
      <c r="X40" s="29">
        <f t="shared" si="7"/>
        <v>0</v>
      </c>
    </row>
    <row r="41" spans="1:24" x14ac:dyDescent="0.2">
      <c r="A41" t="s">
        <v>41</v>
      </c>
      <c r="F41" s="26">
        <f>G17-15</f>
        <v>-15</v>
      </c>
      <c r="G41"/>
      <c r="H41"/>
      <c r="I41"/>
    </row>
    <row r="42" spans="1:24" x14ac:dyDescent="0.2">
      <c r="A42" t="s">
        <v>42</v>
      </c>
      <c r="F42" s="26">
        <f>E17-G17+15</f>
        <v>15</v>
      </c>
      <c r="G42"/>
      <c r="H42"/>
      <c r="I42"/>
    </row>
    <row r="43" spans="1:24" x14ac:dyDescent="0.2">
      <c r="A43" t="s">
        <v>43</v>
      </c>
      <c r="F43" s="26">
        <f>G17-35</f>
        <v>-35</v>
      </c>
      <c r="G43"/>
      <c r="H43"/>
      <c r="I43"/>
    </row>
    <row r="44" spans="1:24" x14ac:dyDescent="0.2">
      <c r="A44" t="s">
        <v>44</v>
      </c>
      <c r="F44" s="26">
        <f>E17-G17+35</f>
        <v>35</v>
      </c>
      <c r="G44"/>
      <c r="H44"/>
      <c r="I44"/>
    </row>
    <row r="45" spans="1:24" x14ac:dyDescent="0.2">
      <c r="A45" t="s">
        <v>45</v>
      </c>
      <c r="F45" s="26">
        <f>F17-23</f>
        <v>-23</v>
      </c>
      <c r="G45"/>
      <c r="H45"/>
      <c r="I45"/>
    </row>
    <row r="46" spans="1:24" x14ac:dyDescent="0.2">
      <c r="A46" t="s">
        <v>46</v>
      </c>
      <c r="F46" s="26">
        <f>E17-G17+23</f>
        <v>23</v>
      </c>
      <c r="G46"/>
      <c r="H46"/>
      <c r="I46"/>
    </row>
    <row r="47" spans="1:24" x14ac:dyDescent="0.2">
      <c r="F47" s="9"/>
      <c r="G47"/>
      <c r="H47"/>
      <c r="I47"/>
      <c r="P47" s="9"/>
    </row>
    <row r="48" spans="1:24" ht="15" x14ac:dyDescent="0.25">
      <c r="A48" s="34" t="s">
        <v>47</v>
      </c>
      <c r="B48" s="35"/>
      <c r="C48" s="35"/>
      <c r="D48" s="35"/>
      <c r="E48" s="35"/>
      <c r="F48" s="35" t="s">
        <v>48</v>
      </c>
      <c r="G48" s="35"/>
      <c r="H48" s="35"/>
      <c r="I48" s="35"/>
      <c r="J48" s="35"/>
      <c r="K48" s="35"/>
      <c r="L48" s="35"/>
    </row>
    <row r="49" spans="1:14" x14ac:dyDescent="0.2">
      <c r="A49" t="s">
        <v>49</v>
      </c>
      <c r="F49" s="26">
        <v>25</v>
      </c>
      <c r="G49"/>
      <c r="H49"/>
      <c r="I49"/>
    </row>
    <row r="50" spans="1:14" x14ac:dyDescent="0.2">
      <c r="A50" t="s">
        <v>33</v>
      </c>
      <c r="F50" s="26">
        <f>F28-25</f>
        <v>-67</v>
      </c>
      <c r="G50"/>
      <c r="H50"/>
      <c r="I50"/>
    </row>
    <row r="51" spans="1:14" x14ac:dyDescent="0.2">
      <c r="A51" s="33" t="s">
        <v>35</v>
      </c>
      <c r="F51" s="36" t="s">
        <v>50</v>
      </c>
      <c r="G51"/>
      <c r="H51"/>
      <c r="I51" t="s">
        <v>36</v>
      </c>
    </row>
    <row r="52" spans="1:14" x14ac:dyDescent="0.2">
      <c r="F52" s="129" t="str">
        <f>IF(B17=2,"Achtung!! 2 Flüglig!! Mittleres Loch auslassen","")</f>
        <v/>
      </c>
      <c r="G52"/>
      <c r="H52"/>
      <c r="I52"/>
    </row>
    <row r="53" spans="1:14" ht="15" x14ac:dyDescent="0.25">
      <c r="A53" s="267" t="s">
        <v>51</v>
      </c>
      <c r="B53" s="267"/>
      <c r="C53" s="267"/>
      <c r="D53" s="267"/>
      <c r="E53" s="267"/>
      <c r="F53" s="267"/>
      <c r="G53" s="267"/>
      <c r="H53" s="267"/>
      <c r="I53" s="267"/>
      <c r="J53" s="267"/>
      <c r="K53" s="267"/>
      <c r="L53" s="267"/>
    </row>
    <row r="54" spans="1:14" x14ac:dyDescent="0.2">
      <c r="A54" s="35" t="s">
        <v>52</v>
      </c>
      <c r="B54" s="37" t="s">
        <v>53</v>
      </c>
      <c r="C54" s="37"/>
      <c r="D54" s="206" t="s">
        <v>54</v>
      </c>
      <c r="E54" s="206"/>
      <c r="F54" s="35" t="s">
        <v>55</v>
      </c>
      <c r="G54" s="35"/>
      <c r="H54" s="35"/>
      <c r="I54" s="35"/>
      <c r="J54" s="35"/>
      <c r="K54" s="266" t="s">
        <v>13</v>
      </c>
      <c r="L54" s="266"/>
    </row>
    <row r="55" spans="1:14" x14ac:dyDescent="0.2">
      <c r="A55" s="12">
        <v>1</v>
      </c>
      <c r="B55" s="9">
        <f>VLOOKUP(A17,'Bestellung Commande'!A27:O65,11,FALSE)</f>
        <v>0</v>
      </c>
      <c r="C55" s="9"/>
      <c r="D55" s="252">
        <f>IF(ISERROR(VLOOKUP($B55,DATEN!$A$3:$D$10,2,FALSE)),"",VLOOKUP($B55,DATEN!$A$3:$D$10,2,FALSE))</f>
        <v>0</v>
      </c>
      <c r="E55" s="252"/>
      <c r="F55" s="12">
        <f>IF(ISERROR(VLOOKUP($B55,DATEN!$A$3:$D$10,3,FALSE)),"",VLOOKUP($B55,DATEN!$A$3:$D$10,3,FALSE))</f>
        <v>0</v>
      </c>
      <c r="G55"/>
      <c r="H55"/>
      <c r="K55" s="265">
        <f>$F$22</f>
        <v>0</v>
      </c>
      <c r="L55" s="265"/>
    </row>
    <row r="56" spans="1:14" x14ac:dyDescent="0.2">
      <c r="A56" s="12">
        <v>2</v>
      </c>
      <c r="B56" s="9">
        <f>VLOOKUP(A17,'Bestellung Commande'!A27:O65,12,FALSE)</f>
        <v>0</v>
      </c>
      <c r="C56" s="9"/>
      <c r="D56" s="252">
        <f>IF(ISERROR(VLOOKUP($B56,DATEN!$A$3:$D$10,2,FALSE)),"",VLOOKUP($B56,DATEN!$A$3:$D$10,2,FALSE))</f>
        <v>0</v>
      </c>
      <c r="E56" s="252"/>
      <c r="F56" s="9">
        <f>IF(ISERROR(VLOOKUP($B56,DATEN!$A$3:$D$10,3,FALSE)),"",VLOOKUP($B56,DATEN!$A$3:$D$10,3,FALSE))</f>
        <v>0</v>
      </c>
      <c r="G56"/>
      <c r="H56"/>
      <c r="K56" s="265">
        <f t="shared" ref="K56:K58" si="8">$F$22</f>
        <v>0</v>
      </c>
      <c r="L56" s="265"/>
    </row>
    <row r="57" spans="1:14" x14ac:dyDescent="0.2">
      <c r="A57" s="12">
        <v>3</v>
      </c>
      <c r="B57" s="9">
        <f>VLOOKUP(A17,'Bestellung Commande'!A27:O65,13,FALSE)</f>
        <v>0</v>
      </c>
      <c r="C57" s="9"/>
      <c r="D57" s="252">
        <f>IF(ISERROR(VLOOKUP($B57,DATEN!$A$3:$D$10,2,FALSE)),"",VLOOKUP($B57,DATEN!$A$3:$D$10,2,FALSE))</f>
        <v>0</v>
      </c>
      <c r="E57" s="252"/>
      <c r="F57" s="9">
        <f>IF(ISERROR(VLOOKUP($B57,DATEN!$A$3:$D$10,3,FALSE)),"",VLOOKUP($B57,DATEN!$A$3:$D$10,3,FALSE))</f>
        <v>0</v>
      </c>
      <c r="K57" s="265">
        <f t="shared" si="8"/>
        <v>0</v>
      </c>
      <c r="L57" s="265"/>
    </row>
    <row r="58" spans="1:14" x14ac:dyDescent="0.2">
      <c r="A58" s="12">
        <v>4</v>
      </c>
      <c r="B58" s="9">
        <f>VLOOKUP(A17,'Bestellung Commande'!A27:O65,14,FALSE)</f>
        <v>0</v>
      </c>
      <c r="C58" s="9"/>
      <c r="D58" s="252">
        <f>IF(ISERROR(VLOOKUP($B58,DATEN!$A$3:$D$10,2,FALSE)),"",VLOOKUP($B58,DATEN!$A$3:$D$10,2,FALSE))</f>
        <v>0</v>
      </c>
      <c r="E58" s="252"/>
      <c r="F58" s="9">
        <f>IF(ISERROR(VLOOKUP($B58,DATEN!$A$3:$D$10,3,FALSE)),"",VLOOKUP($B58,DATEN!$A$3:$D$10,3,FALSE))</f>
        <v>0</v>
      </c>
      <c r="K58" s="265">
        <f t="shared" si="8"/>
        <v>0</v>
      </c>
      <c r="L58" s="265"/>
      <c r="N58" s="46">
        <f>'Bestellung Commande'!B44</f>
        <v>0</v>
      </c>
    </row>
  </sheetData>
  <sheetProtection algorithmName="SHA-512" hashValue="F+NIdc5HL2p55kA8zj/sx3NaS4TmmTLFgGppKLBPI1DlfsvzX5YzgC1sMYCrG5LRzRmrVuyrWeeyxfMUnliGSw==" saltValue="4DdS9s0Sq241X8o68a+1ng==" spinCount="100000" sheet="1" objects="1" scenarios="1"/>
  <mergeCells count="52">
    <mergeCell ref="D57:E57"/>
    <mergeCell ref="K57:L57"/>
    <mergeCell ref="D58:E58"/>
    <mergeCell ref="K58:L58"/>
    <mergeCell ref="A53:L53"/>
    <mergeCell ref="D54:E54"/>
    <mergeCell ref="K54:L54"/>
    <mergeCell ref="D55:E55"/>
    <mergeCell ref="K55:L55"/>
    <mergeCell ref="D56:E56"/>
    <mergeCell ref="K56:L56"/>
    <mergeCell ref="A40:L40"/>
    <mergeCell ref="A13:B13"/>
    <mergeCell ref="D13:F13"/>
    <mergeCell ref="A14:B14"/>
    <mergeCell ref="D14:F14"/>
    <mergeCell ref="B16:C16"/>
    <mergeCell ref="I16:L16"/>
    <mergeCell ref="B17:C17"/>
    <mergeCell ref="A20:N20"/>
    <mergeCell ref="A24:N24"/>
    <mergeCell ref="A29:N29"/>
    <mergeCell ref="A34:N34"/>
    <mergeCell ref="A10:B10"/>
    <mergeCell ref="D10:F10"/>
    <mergeCell ref="G10:N11"/>
    <mergeCell ref="A11:F11"/>
    <mergeCell ref="A12:B12"/>
    <mergeCell ref="D12:F12"/>
    <mergeCell ref="A6:B6"/>
    <mergeCell ref="D6:F6"/>
    <mergeCell ref="G6:N6"/>
    <mergeCell ref="A7:F7"/>
    <mergeCell ref="G7:N9"/>
    <mergeCell ref="A8:B8"/>
    <mergeCell ref="D8:F8"/>
    <mergeCell ref="A9:B9"/>
    <mergeCell ref="D9:F9"/>
    <mergeCell ref="D4:F4"/>
    <mergeCell ref="G4:J4"/>
    <mergeCell ref="K4:N4"/>
    <mergeCell ref="A5:B5"/>
    <mergeCell ref="D5:F5"/>
    <mergeCell ref="G5:J5"/>
    <mergeCell ref="K5:N5"/>
    <mergeCell ref="A1:N1"/>
    <mergeCell ref="A2:F2"/>
    <mergeCell ref="G2:N2"/>
    <mergeCell ref="A3:B3"/>
    <mergeCell ref="D3:F3"/>
    <mergeCell ref="G3:J3"/>
    <mergeCell ref="K3:N3"/>
  </mergeCells>
  <printOptions horizontalCentered="1"/>
  <pageMargins left="0.27" right="0.31" top="0.74803149606299213" bottom="0.74803149606299213" header="0.31496062992125984" footer="0.31496062992125984"/>
  <pageSetup paperSize="9" scale="87" orientation="portrait" r:id="rId1"/>
  <headerFooter>
    <oddHeader>&amp;R&amp;G</oddHeader>
    <oddFooter>&amp;LDuckdatum: &amp;D
&amp;F&amp;R&amp;P/&amp;N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878684E-50C1-4DC3-BF04-72D18303100F}">
          <x14:formula1>
            <xm:f>DATEN!$I$1:$J$1</xm:f>
          </x14:formula1>
          <xm:sqref>K3:N3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A3C04236FF76047A23DF1C551D3D32E" ma:contentTypeVersion="4" ma:contentTypeDescription="Ein neues Dokument erstellen." ma:contentTypeScope="" ma:versionID="462d9b39ecc726cc254fb209760aacfe">
  <xsd:schema xmlns:xsd="http://www.w3.org/2001/XMLSchema" xmlns:xs="http://www.w3.org/2001/XMLSchema" xmlns:p="http://schemas.microsoft.com/office/2006/metadata/properties" xmlns:ns2="d41c96e7-f5ed-49b0-aa10-2801d50673eb" targetNamespace="http://schemas.microsoft.com/office/2006/metadata/properties" ma:root="true" ma:fieldsID="a9a19f50c7d86d3dd3c1cc918a2c82c4" ns2:_="">
    <xsd:import namespace="d41c96e7-f5ed-49b0-aa10-2801d50673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1c96e7-f5ed-49b0-aa10-2801d50673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4D3C39-716A-4263-9FB2-895234507F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1c96e7-f5ed-49b0-aa10-2801d50673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A80B71-7008-43C8-B949-04D8C991A2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FE199-39EF-42CA-898A-311F496F393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d41c96e7-f5ed-49b0-aa10-2801d50673eb"/>
    <ds:schemaRef ds:uri="http://www.w3.org/XML/1998/namespace"/>
    <ds:schemaRef ds:uri="491e506a-3954-43b3-a49c-24a9b2f7d35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23</vt:i4>
      </vt:variant>
      <vt:variant>
        <vt:lpstr>Benannte Bereiche</vt:lpstr>
      </vt:variant>
      <vt:variant>
        <vt:i4>24</vt:i4>
      </vt:variant>
    </vt:vector>
  </HeadingPairs>
  <TitlesOfParts>
    <vt:vector size="47" baseType="lpstr">
      <vt:lpstr>Bestellung Commande</vt:lpstr>
      <vt:lpstr>DATEN</vt:lpstr>
      <vt:lpstr>Zusammenzug</vt:lpstr>
      <vt:lpstr>Pos1</vt:lpstr>
      <vt:lpstr>Pos2</vt:lpstr>
      <vt:lpstr>Pos3</vt:lpstr>
      <vt:lpstr>Pos4</vt:lpstr>
      <vt:lpstr>Pos5</vt:lpstr>
      <vt:lpstr>Pos6</vt:lpstr>
      <vt:lpstr>Pos7</vt:lpstr>
      <vt:lpstr>Pos8</vt:lpstr>
      <vt:lpstr>Pos9</vt:lpstr>
      <vt:lpstr>Pos10</vt:lpstr>
      <vt:lpstr>Pos11</vt:lpstr>
      <vt:lpstr>Pos12</vt:lpstr>
      <vt:lpstr>Pos13</vt:lpstr>
      <vt:lpstr>Pos14</vt:lpstr>
      <vt:lpstr>Pos15</vt:lpstr>
      <vt:lpstr>Pos16</vt:lpstr>
      <vt:lpstr>Pos17</vt:lpstr>
      <vt:lpstr>Pos18</vt:lpstr>
      <vt:lpstr>Pos19</vt:lpstr>
      <vt:lpstr>Pos20</vt:lpstr>
      <vt:lpstr>'Bestellung Commande'!Druckbereich</vt:lpstr>
      <vt:lpstr>'Pos1'!Druckbereich</vt:lpstr>
      <vt:lpstr>'Pos10'!Druckbereich</vt:lpstr>
      <vt:lpstr>'Pos11'!Druckbereich</vt:lpstr>
      <vt:lpstr>'Pos12'!Druckbereich</vt:lpstr>
      <vt:lpstr>'Pos13'!Druckbereich</vt:lpstr>
      <vt:lpstr>'Pos14'!Druckbereich</vt:lpstr>
      <vt:lpstr>'Pos15'!Druckbereich</vt:lpstr>
      <vt:lpstr>'Pos16'!Druckbereich</vt:lpstr>
      <vt:lpstr>'Pos17'!Druckbereich</vt:lpstr>
      <vt:lpstr>'Pos18'!Druckbereich</vt:lpstr>
      <vt:lpstr>'Pos19'!Druckbereich</vt:lpstr>
      <vt:lpstr>'Pos2'!Druckbereich</vt:lpstr>
      <vt:lpstr>'Pos20'!Druckbereich</vt:lpstr>
      <vt:lpstr>'Pos3'!Druckbereich</vt:lpstr>
      <vt:lpstr>'Pos4'!Druckbereich</vt:lpstr>
      <vt:lpstr>'Pos5'!Druckbereich</vt:lpstr>
      <vt:lpstr>'Pos6'!Druckbereich</vt:lpstr>
      <vt:lpstr>'Pos7'!Druckbereich</vt:lpstr>
      <vt:lpstr>'Pos8'!Druckbereich</vt:lpstr>
      <vt:lpstr>'Pos9'!Druckbereich</vt:lpstr>
      <vt:lpstr>Zusammenzug!Druckbereich</vt:lpstr>
      <vt:lpstr>'Bestellung Commande'!Drucktitel</vt:lpstr>
      <vt:lpstr>Zusammenzug!Drucktitel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Jörg Zingg</dc:creator>
  <cp:keywords/>
  <dc:description/>
  <cp:lastModifiedBy>Marcel Hurni</cp:lastModifiedBy>
  <cp:revision/>
  <cp:lastPrinted>2024-09-19T10:43:56Z</cp:lastPrinted>
  <dcterms:created xsi:type="dcterms:W3CDTF">2023-10-12T12:13:14Z</dcterms:created>
  <dcterms:modified xsi:type="dcterms:W3CDTF">2024-09-26T09:16:23Z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0x0101000A3C04236FF76047A23DF1C551D3D32E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  <property fmtid="{D5CDD505-2E9C-101B-9397-08002B2CF9AE}" pid="9" name="MediaServiceImageTags">
    <vt:lpwstr/>
  </property>
</Properties>
</file>